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2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  <sheet name="2020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org">[1]Титульный!$G$15</definedName>
  </definedNames>
  <calcPr calcId="145621"/>
</workbook>
</file>

<file path=xl/calcChain.xml><?xml version="1.0" encoding="utf-8"?>
<calcChain xmlns="http://schemas.openxmlformats.org/spreadsheetml/2006/main">
  <c r="F155" i="13" l="1"/>
  <c r="I152" i="13"/>
  <c r="F152" i="13"/>
  <c r="H150" i="13"/>
  <c r="H148" i="13" s="1"/>
  <c r="I149" i="13"/>
  <c r="G149" i="13" s="1"/>
  <c r="G147" i="13"/>
  <c r="G145" i="13"/>
  <c r="G144" i="13"/>
  <c r="G143" i="13"/>
  <c r="K142" i="13"/>
  <c r="J142" i="13"/>
  <c r="I142" i="13"/>
  <c r="G142" i="13" s="1"/>
  <c r="H142" i="13"/>
  <c r="G141" i="13"/>
  <c r="G140" i="13"/>
  <c r="K139" i="13"/>
  <c r="J139" i="13"/>
  <c r="I139" i="13"/>
  <c r="I137" i="13" s="1"/>
  <c r="I136" i="13" s="1"/>
  <c r="H139" i="13"/>
  <c r="G139" i="13" s="1"/>
  <c r="G138" i="13"/>
  <c r="K137" i="13"/>
  <c r="J137" i="13"/>
  <c r="J136" i="13" s="1"/>
  <c r="K136" i="13"/>
  <c r="G135" i="13"/>
  <c r="G134" i="13"/>
  <c r="G133" i="13"/>
  <c r="K132" i="13"/>
  <c r="K130" i="13" s="1"/>
  <c r="J132" i="13"/>
  <c r="I132" i="13"/>
  <c r="H132" i="13"/>
  <c r="H130" i="13" s="1"/>
  <c r="G132" i="13"/>
  <c r="G131" i="13"/>
  <c r="J130" i="13"/>
  <c r="I130" i="13"/>
  <c r="I127" i="13"/>
  <c r="G127" i="13"/>
  <c r="H126" i="13"/>
  <c r="H124" i="13" s="1"/>
  <c r="G125" i="13"/>
  <c r="G123" i="13"/>
  <c r="G122" i="13"/>
  <c r="G121" i="13"/>
  <c r="K120" i="13"/>
  <c r="J120" i="13"/>
  <c r="I120" i="13"/>
  <c r="H120" i="13"/>
  <c r="G120" i="13" s="1"/>
  <c r="G119" i="13"/>
  <c r="G118" i="13"/>
  <c r="G117" i="13"/>
  <c r="G116" i="13"/>
  <c r="G115" i="13"/>
  <c r="G114" i="13"/>
  <c r="K113" i="13"/>
  <c r="J113" i="13"/>
  <c r="I113" i="13"/>
  <c r="G113" i="13" s="1"/>
  <c r="H113" i="13"/>
  <c r="G112" i="13"/>
  <c r="G111" i="13"/>
  <c r="K110" i="13"/>
  <c r="J110" i="13"/>
  <c r="I110" i="13"/>
  <c r="H110" i="13"/>
  <c r="G110" i="13" s="1"/>
  <c r="G109" i="13"/>
  <c r="G108" i="13"/>
  <c r="K107" i="13"/>
  <c r="K106" i="13" s="1"/>
  <c r="K104" i="13" s="1"/>
  <c r="K103" i="13" s="1"/>
  <c r="J107" i="13"/>
  <c r="I107" i="13"/>
  <c r="I106" i="13" s="1"/>
  <c r="I104" i="13" s="1"/>
  <c r="I103" i="13" s="1"/>
  <c r="H107" i="13"/>
  <c r="G107" i="13"/>
  <c r="J106" i="13"/>
  <c r="H106" i="13"/>
  <c r="H104" i="13" s="1"/>
  <c r="G105" i="13"/>
  <c r="J104" i="13"/>
  <c r="J103" i="13" s="1"/>
  <c r="G102" i="13"/>
  <c r="G101" i="13"/>
  <c r="G100" i="13"/>
  <c r="K99" i="13"/>
  <c r="K97" i="13" s="1"/>
  <c r="J99" i="13"/>
  <c r="I99" i="13"/>
  <c r="H99" i="13"/>
  <c r="H97" i="13" s="1"/>
  <c r="G97" i="13" s="1"/>
  <c r="G99" i="13"/>
  <c r="G98" i="13"/>
  <c r="J97" i="13"/>
  <c r="I97" i="13"/>
  <c r="G95" i="13"/>
  <c r="G94" i="13"/>
  <c r="G93" i="13"/>
  <c r="G88" i="13"/>
  <c r="K87" i="13"/>
  <c r="J87" i="13"/>
  <c r="I87" i="13"/>
  <c r="H87" i="13"/>
  <c r="H90" i="13" s="1"/>
  <c r="G86" i="13"/>
  <c r="G85" i="13"/>
  <c r="G83" i="13"/>
  <c r="I81" i="13"/>
  <c r="G81" i="13" s="1"/>
  <c r="K79" i="13"/>
  <c r="K73" i="13" s="1"/>
  <c r="J79" i="13"/>
  <c r="H79" i="13"/>
  <c r="G78" i="13"/>
  <c r="G77" i="13"/>
  <c r="K76" i="13"/>
  <c r="J76" i="13"/>
  <c r="J73" i="13" s="1"/>
  <c r="G75" i="13"/>
  <c r="G74" i="13"/>
  <c r="H73" i="13"/>
  <c r="G72" i="13"/>
  <c r="G71" i="13"/>
  <c r="J68" i="13"/>
  <c r="I67" i="13"/>
  <c r="H67" i="13"/>
  <c r="J65" i="13"/>
  <c r="I65" i="13"/>
  <c r="G65" i="13" s="1"/>
  <c r="H65" i="13"/>
  <c r="K63" i="13"/>
  <c r="J63" i="13"/>
  <c r="H63" i="13"/>
  <c r="K60" i="13"/>
  <c r="G60" i="13" s="1"/>
  <c r="J60" i="13"/>
  <c r="I60" i="13"/>
  <c r="H60" i="13"/>
  <c r="J58" i="13"/>
  <c r="G58" i="13"/>
  <c r="K56" i="13"/>
  <c r="J56" i="13"/>
  <c r="J54" i="13" s="1"/>
  <c r="I56" i="13"/>
  <c r="H56" i="13"/>
  <c r="G56" i="13" s="1"/>
  <c r="G55" i="13"/>
  <c r="H54" i="13"/>
  <c r="H91" i="13" s="1"/>
  <c r="J51" i="13"/>
  <c r="H51" i="13"/>
  <c r="K50" i="13"/>
  <c r="K51" i="13" s="1"/>
  <c r="J50" i="13"/>
  <c r="J89" i="13" s="1"/>
  <c r="J90" i="13" s="1"/>
  <c r="I50" i="13"/>
  <c r="G50" i="13" s="1"/>
  <c r="G49" i="13"/>
  <c r="G48" i="13"/>
  <c r="G47" i="13"/>
  <c r="G46" i="13"/>
  <c r="H45" i="13"/>
  <c r="H84" i="13" s="1"/>
  <c r="G44" i="13"/>
  <c r="G42" i="13"/>
  <c r="K40" i="13"/>
  <c r="J40" i="13"/>
  <c r="J34" i="13" s="1"/>
  <c r="J128" i="13" s="1"/>
  <c r="I40" i="13"/>
  <c r="H40" i="13"/>
  <c r="G40" i="13" s="1"/>
  <c r="G39" i="13"/>
  <c r="G38" i="13"/>
  <c r="I37" i="13"/>
  <c r="G37" i="13" s="1"/>
  <c r="G36" i="13"/>
  <c r="G35" i="13"/>
  <c r="K34" i="13"/>
  <c r="K128" i="13" s="1"/>
  <c r="I34" i="13"/>
  <c r="J30" i="13" s="1"/>
  <c r="G33" i="13"/>
  <c r="G32" i="13"/>
  <c r="J29" i="13"/>
  <c r="G29" i="13"/>
  <c r="I28" i="13"/>
  <c r="H28" i="13"/>
  <c r="G26" i="13"/>
  <c r="K24" i="13"/>
  <c r="J24" i="13"/>
  <c r="J15" i="13" s="1"/>
  <c r="I24" i="13"/>
  <c r="H24" i="13"/>
  <c r="G24" i="13" s="1"/>
  <c r="K21" i="13"/>
  <c r="J21" i="13"/>
  <c r="I21" i="13"/>
  <c r="G21" i="13" s="1"/>
  <c r="H21" i="13"/>
  <c r="G19" i="13"/>
  <c r="K17" i="13"/>
  <c r="K15" i="13" s="1"/>
  <c r="J17" i="13"/>
  <c r="I17" i="13"/>
  <c r="H17" i="13"/>
  <c r="G17" i="13"/>
  <c r="G16" i="13"/>
  <c r="I15" i="13"/>
  <c r="I45" i="13" s="1"/>
  <c r="D9" i="13"/>
  <c r="J67" i="13" l="1"/>
  <c r="H146" i="13"/>
  <c r="G30" i="13"/>
  <c r="J69" i="13"/>
  <c r="G69" i="13" s="1"/>
  <c r="J28" i="13"/>
  <c r="J52" i="13" s="1"/>
  <c r="I84" i="13"/>
  <c r="K150" i="13"/>
  <c r="K148" i="13" s="1"/>
  <c r="K146" i="13" s="1"/>
  <c r="K126" i="13"/>
  <c r="K124" i="13" s="1"/>
  <c r="J150" i="13"/>
  <c r="J148" i="13" s="1"/>
  <c r="J146" i="13" s="1"/>
  <c r="J126" i="13"/>
  <c r="J124" i="13" s="1"/>
  <c r="I90" i="13"/>
  <c r="G90" i="13" s="1"/>
  <c r="G104" i="13"/>
  <c r="H103" i="13"/>
  <c r="G103" i="13" s="1"/>
  <c r="G130" i="13"/>
  <c r="I79" i="13"/>
  <c r="G79" i="13" s="1"/>
  <c r="I89" i="13"/>
  <c r="H137" i="13"/>
  <c r="H15" i="13"/>
  <c r="K31" i="13"/>
  <c r="H34" i="13"/>
  <c r="G34" i="13" s="1"/>
  <c r="J45" i="13"/>
  <c r="J84" i="13" s="1"/>
  <c r="I51" i="13"/>
  <c r="G51" i="13" s="1"/>
  <c r="K54" i="13"/>
  <c r="I63" i="13"/>
  <c r="I54" i="13" s="1"/>
  <c r="G68" i="13"/>
  <c r="I76" i="13"/>
  <c r="G87" i="13"/>
  <c r="G106" i="13"/>
  <c r="I128" i="13"/>
  <c r="K89" i="13"/>
  <c r="K90" i="13" s="1"/>
  <c r="I52" i="13"/>
  <c r="I91" i="13" l="1"/>
  <c r="G54" i="13"/>
  <c r="G137" i="13"/>
  <c r="H136" i="13"/>
  <c r="G136" i="13" s="1"/>
  <c r="J91" i="13"/>
  <c r="G89" i="13"/>
  <c r="I150" i="13"/>
  <c r="I126" i="13"/>
  <c r="G128" i="13"/>
  <c r="I73" i="13"/>
  <c r="G73" i="13" s="1"/>
  <c r="G76" i="13"/>
  <c r="K28" i="13"/>
  <c r="K45" i="13"/>
  <c r="K84" i="13" s="1"/>
  <c r="G84" i="13" s="1"/>
  <c r="K70" i="13"/>
  <c r="G31" i="13"/>
  <c r="H52" i="13"/>
  <c r="G15" i="13"/>
  <c r="G63" i="13"/>
  <c r="G45" i="13" l="1"/>
  <c r="K52" i="13"/>
  <c r="G52" i="13" s="1"/>
  <c r="I124" i="13"/>
  <c r="G124" i="13" s="1"/>
  <c r="G126" i="13"/>
  <c r="G28" i="13"/>
  <c r="I148" i="13"/>
  <c r="G150" i="13"/>
  <c r="K67" i="13"/>
  <c r="G70" i="13"/>
  <c r="I146" i="13" l="1"/>
  <c r="G146" i="13" s="1"/>
  <c r="G148" i="13"/>
  <c r="G67" i="13"/>
  <c r="K91" i="13"/>
  <c r="G91" i="13" s="1"/>
  <c r="F153" i="12" l="1"/>
  <c r="I150" i="12"/>
  <c r="F150" i="12"/>
  <c r="G145" i="12"/>
  <c r="G143" i="12"/>
  <c r="G142" i="12"/>
  <c r="G141" i="12"/>
  <c r="K140" i="12"/>
  <c r="J140" i="12"/>
  <c r="I140" i="12"/>
  <c r="H140" i="12"/>
  <c r="G140" i="12"/>
  <c r="G139" i="12"/>
  <c r="G138" i="12"/>
  <c r="K137" i="12"/>
  <c r="J137" i="12"/>
  <c r="I137" i="12"/>
  <c r="I135" i="12" s="1"/>
  <c r="H137" i="12"/>
  <c r="G137" i="12" s="1"/>
  <c r="G136" i="12"/>
  <c r="K135" i="12"/>
  <c r="K134" i="12" s="1"/>
  <c r="J135" i="12"/>
  <c r="J134" i="12" s="1"/>
  <c r="H135" i="12"/>
  <c r="H134" i="12"/>
  <c r="G133" i="12"/>
  <c r="G132" i="12"/>
  <c r="G131" i="12"/>
  <c r="K130" i="12"/>
  <c r="J130" i="12"/>
  <c r="I130" i="12"/>
  <c r="H130" i="12"/>
  <c r="G130" i="12" s="1"/>
  <c r="G129" i="12"/>
  <c r="K128" i="12"/>
  <c r="J128" i="12"/>
  <c r="I128" i="12"/>
  <c r="H126" i="12"/>
  <c r="H148" i="12" s="1"/>
  <c r="I125" i="12"/>
  <c r="I147" i="12" s="1"/>
  <c r="G123" i="12"/>
  <c r="G121" i="12"/>
  <c r="G120" i="12"/>
  <c r="G119" i="12"/>
  <c r="K118" i="12"/>
  <c r="J118" i="12"/>
  <c r="I118" i="12"/>
  <c r="H118" i="12"/>
  <c r="G118" i="12" s="1"/>
  <c r="G117" i="12"/>
  <c r="G116" i="12"/>
  <c r="G115" i="12"/>
  <c r="G114" i="12"/>
  <c r="G113" i="12"/>
  <c r="G112" i="12"/>
  <c r="K111" i="12"/>
  <c r="K104" i="12" s="1"/>
  <c r="K102" i="12" s="1"/>
  <c r="K101" i="12" s="1"/>
  <c r="J111" i="12"/>
  <c r="I111" i="12"/>
  <c r="H111" i="12"/>
  <c r="G110" i="12"/>
  <c r="G109" i="12"/>
  <c r="K108" i="12"/>
  <c r="J108" i="12"/>
  <c r="G108" i="12" s="1"/>
  <c r="I108" i="12"/>
  <c r="H108" i="12"/>
  <c r="G107" i="12"/>
  <c r="G106" i="12"/>
  <c r="K105" i="12"/>
  <c r="J105" i="12"/>
  <c r="I105" i="12"/>
  <c r="I104" i="12" s="1"/>
  <c r="I102" i="12" s="1"/>
  <c r="I101" i="12" s="1"/>
  <c r="H105" i="12"/>
  <c r="G105" i="12" s="1"/>
  <c r="J104" i="12"/>
  <c r="J102" i="12" s="1"/>
  <c r="J101" i="12" s="1"/>
  <c r="G103" i="12"/>
  <c r="G100" i="12"/>
  <c r="G99" i="12"/>
  <c r="G98" i="12"/>
  <c r="K97" i="12"/>
  <c r="J97" i="12"/>
  <c r="I97" i="12"/>
  <c r="I95" i="12" s="1"/>
  <c r="G95" i="12" s="1"/>
  <c r="H97" i="12"/>
  <c r="G97" i="12" s="1"/>
  <c r="G96" i="12"/>
  <c r="K95" i="12"/>
  <c r="J95" i="12"/>
  <c r="H95" i="12"/>
  <c r="G93" i="12"/>
  <c r="G92" i="12"/>
  <c r="G91" i="12"/>
  <c r="H88" i="12"/>
  <c r="I87" i="12"/>
  <c r="G86" i="12"/>
  <c r="K85" i="12"/>
  <c r="J85" i="12"/>
  <c r="I85" i="12"/>
  <c r="I88" i="12" s="1"/>
  <c r="H85" i="12"/>
  <c r="G84" i="12"/>
  <c r="G83" i="12"/>
  <c r="G81" i="12"/>
  <c r="I79" i="12"/>
  <c r="I77" i="12" s="1"/>
  <c r="I71" i="12" s="1"/>
  <c r="K77" i="12"/>
  <c r="J77" i="12"/>
  <c r="H77" i="12"/>
  <c r="G76" i="12"/>
  <c r="G75" i="12"/>
  <c r="K74" i="12"/>
  <c r="J74" i="12"/>
  <c r="I74" i="12"/>
  <c r="G74" i="12"/>
  <c r="G73" i="12"/>
  <c r="G72" i="12"/>
  <c r="K71" i="12"/>
  <c r="J71" i="12"/>
  <c r="G70" i="12"/>
  <c r="G69" i="12"/>
  <c r="I65" i="12"/>
  <c r="H65" i="12"/>
  <c r="J63" i="12"/>
  <c r="J61" i="12" s="1"/>
  <c r="I63" i="12"/>
  <c r="H63" i="12"/>
  <c r="G63" i="12"/>
  <c r="K61" i="12"/>
  <c r="I61" i="12"/>
  <c r="H61" i="12"/>
  <c r="G61" i="12" s="1"/>
  <c r="K58" i="12"/>
  <c r="J58" i="12"/>
  <c r="I58" i="12"/>
  <c r="I53" i="12" s="1"/>
  <c r="H58" i="12"/>
  <c r="G58" i="12" s="1"/>
  <c r="K55" i="12"/>
  <c r="J55" i="12"/>
  <c r="G55" i="12" s="1"/>
  <c r="I55" i="12"/>
  <c r="H55" i="12"/>
  <c r="G54" i="12"/>
  <c r="K53" i="12"/>
  <c r="H53" i="12"/>
  <c r="J50" i="12"/>
  <c r="G50" i="12" s="1"/>
  <c r="I50" i="12"/>
  <c r="H50" i="12"/>
  <c r="K49" i="12"/>
  <c r="K50" i="12" s="1"/>
  <c r="J49" i="12"/>
  <c r="J87" i="12" s="1"/>
  <c r="I49" i="12"/>
  <c r="G48" i="12"/>
  <c r="G47" i="12"/>
  <c r="G46" i="12"/>
  <c r="G45" i="12"/>
  <c r="H44" i="12"/>
  <c r="H82" i="12" s="1"/>
  <c r="G43" i="12"/>
  <c r="G41" i="12"/>
  <c r="K39" i="12"/>
  <c r="K33" i="12" s="1"/>
  <c r="K126" i="12" s="1"/>
  <c r="J39" i="12"/>
  <c r="J33" i="12" s="1"/>
  <c r="J126" i="12" s="1"/>
  <c r="I39" i="12"/>
  <c r="G39" i="12" s="1"/>
  <c r="H39" i="12"/>
  <c r="G38" i="12"/>
  <c r="G37" i="12"/>
  <c r="I36" i="12"/>
  <c r="G36" i="12"/>
  <c r="G35" i="12"/>
  <c r="G34" i="12"/>
  <c r="I33" i="12"/>
  <c r="J29" i="12" s="1"/>
  <c r="H33" i="12"/>
  <c r="G32" i="12"/>
  <c r="G31" i="12"/>
  <c r="J28" i="12"/>
  <c r="J66" i="12" s="1"/>
  <c r="I27" i="12"/>
  <c r="H27" i="12"/>
  <c r="G25" i="12"/>
  <c r="K23" i="12"/>
  <c r="J23" i="12"/>
  <c r="I23" i="12"/>
  <c r="H23" i="12"/>
  <c r="G23" i="12" s="1"/>
  <c r="K20" i="12"/>
  <c r="J20" i="12"/>
  <c r="I20" i="12"/>
  <c r="I15" i="12" s="1"/>
  <c r="H20" i="12"/>
  <c r="G20" i="12" s="1"/>
  <c r="K17" i="12"/>
  <c r="J17" i="12"/>
  <c r="J15" i="12" s="1"/>
  <c r="I17" i="12"/>
  <c r="G17" i="12" s="1"/>
  <c r="H17" i="12"/>
  <c r="G16" i="12"/>
  <c r="K15" i="12"/>
  <c r="H15" i="12"/>
  <c r="H51" i="12" s="1"/>
  <c r="D9" i="12"/>
  <c r="G33" i="12" l="1"/>
  <c r="I134" i="12"/>
  <c r="G135" i="12"/>
  <c r="G66" i="12"/>
  <c r="J67" i="12"/>
  <c r="G67" i="12" s="1"/>
  <c r="G29" i="12"/>
  <c r="J27" i="12"/>
  <c r="G77" i="12"/>
  <c r="G147" i="12"/>
  <c r="J148" i="12"/>
  <c r="J146" i="12" s="1"/>
  <c r="J144" i="12" s="1"/>
  <c r="J124" i="12"/>
  <c r="J122" i="12" s="1"/>
  <c r="J88" i="12"/>
  <c r="H146" i="12"/>
  <c r="G134" i="12"/>
  <c r="I51" i="12"/>
  <c r="I44" i="12"/>
  <c r="K124" i="12"/>
  <c r="K122" i="12" s="1"/>
  <c r="K148" i="12"/>
  <c r="K146" i="12" s="1"/>
  <c r="K144" i="12" s="1"/>
  <c r="G28" i="12"/>
  <c r="J53" i="12"/>
  <c r="H71" i="12"/>
  <c r="G71" i="12" s="1"/>
  <c r="K87" i="12"/>
  <c r="G87" i="12" s="1"/>
  <c r="H104" i="12"/>
  <c r="H124" i="12"/>
  <c r="G125" i="12"/>
  <c r="I126" i="12"/>
  <c r="H128" i="12"/>
  <c r="G128" i="12" s="1"/>
  <c r="G15" i="12"/>
  <c r="G53" i="12"/>
  <c r="G79" i="12"/>
  <c r="G111" i="12"/>
  <c r="G49" i="12"/>
  <c r="G85" i="12"/>
  <c r="G104" i="12" l="1"/>
  <c r="H102" i="12"/>
  <c r="I82" i="12"/>
  <c r="H89" i="12"/>
  <c r="J65" i="12"/>
  <c r="H122" i="12"/>
  <c r="I124" i="12"/>
  <c r="I122" i="12" s="1"/>
  <c r="I148" i="12"/>
  <c r="G126" i="12"/>
  <c r="K88" i="12"/>
  <c r="G88" i="12" s="1"/>
  <c r="H144" i="12"/>
  <c r="J44" i="12"/>
  <c r="K30" i="12"/>
  <c r="K27" i="12" l="1"/>
  <c r="K44" i="12"/>
  <c r="K68" i="12"/>
  <c r="G30" i="12"/>
  <c r="G122" i="12"/>
  <c r="J82" i="12"/>
  <c r="J89" i="12" s="1"/>
  <c r="J51" i="12"/>
  <c r="G124" i="12"/>
  <c r="I89" i="12"/>
  <c r="I146" i="12"/>
  <c r="G148" i="12"/>
  <c r="G102" i="12"/>
  <c r="H101" i="12"/>
  <c r="G101" i="12" s="1"/>
  <c r="K82" i="12" l="1"/>
  <c r="G44" i="12"/>
  <c r="I144" i="12"/>
  <c r="G144" i="12" s="1"/>
  <c r="G146" i="12"/>
  <c r="G82" i="12"/>
  <c r="K51" i="12"/>
  <c r="G51" i="12" s="1"/>
  <c r="G27" i="12"/>
  <c r="G68" i="12"/>
  <c r="K65" i="12"/>
  <c r="K89" i="12" l="1"/>
  <c r="G89" i="12" s="1"/>
  <c r="G65" i="12"/>
  <c r="F153" i="11" l="1"/>
  <c r="I150" i="11"/>
  <c r="F150" i="11"/>
  <c r="I147" i="11"/>
  <c r="G147" i="11" s="1"/>
  <c r="G145" i="11"/>
  <c r="G143" i="11"/>
  <c r="G142" i="11"/>
  <c r="G141" i="11"/>
  <c r="K140" i="11"/>
  <c r="K134" i="11" s="1"/>
  <c r="J140" i="11"/>
  <c r="I140" i="11"/>
  <c r="H140" i="11"/>
  <c r="G140" i="11"/>
  <c r="G139" i="11"/>
  <c r="G138" i="11"/>
  <c r="K137" i="11"/>
  <c r="J137" i="11"/>
  <c r="J135" i="11" s="1"/>
  <c r="J134" i="11" s="1"/>
  <c r="I137" i="11"/>
  <c r="I135" i="11" s="1"/>
  <c r="I134" i="11" s="1"/>
  <c r="H137" i="11"/>
  <c r="G137" i="11" s="1"/>
  <c r="G136" i="11"/>
  <c r="K135" i="11"/>
  <c r="H135" i="11"/>
  <c r="G133" i="11"/>
  <c r="G132" i="11"/>
  <c r="G131" i="11"/>
  <c r="K130" i="11"/>
  <c r="J130" i="11"/>
  <c r="I130" i="11"/>
  <c r="G130" i="11" s="1"/>
  <c r="H130" i="11"/>
  <c r="H128" i="11" s="1"/>
  <c r="G129" i="11"/>
  <c r="K128" i="11"/>
  <c r="J128" i="11"/>
  <c r="H126" i="11"/>
  <c r="I125" i="11"/>
  <c r="G125" i="11" s="1"/>
  <c r="G123" i="11"/>
  <c r="G121" i="11"/>
  <c r="G120" i="11"/>
  <c r="G119" i="11"/>
  <c r="K118" i="11"/>
  <c r="J118" i="11"/>
  <c r="I118" i="11"/>
  <c r="G118" i="11" s="1"/>
  <c r="H118" i="11"/>
  <c r="G117" i="11"/>
  <c r="G116" i="11"/>
  <c r="G115" i="11"/>
  <c r="G114" i="11"/>
  <c r="G113" i="11"/>
  <c r="G112" i="11"/>
  <c r="K111" i="11"/>
  <c r="J111" i="11"/>
  <c r="I111" i="11"/>
  <c r="H111" i="11"/>
  <c r="G111" i="11" s="1"/>
  <c r="G110" i="11"/>
  <c r="G109" i="11"/>
  <c r="K108" i="11"/>
  <c r="J108" i="11"/>
  <c r="I108" i="11"/>
  <c r="H108" i="11"/>
  <c r="G108" i="11"/>
  <c r="G107" i="11"/>
  <c r="G106" i="11"/>
  <c r="K105" i="11"/>
  <c r="J105" i="11"/>
  <c r="J104" i="11" s="1"/>
  <c r="J102" i="11" s="1"/>
  <c r="J101" i="11" s="1"/>
  <c r="I105" i="11"/>
  <c r="H105" i="11"/>
  <c r="G105" i="11" s="1"/>
  <c r="K104" i="11"/>
  <c r="K102" i="11" s="1"/>
  <c r="K101" i="11" s="1"/>
  <c r="I104" i="11"/>
  <c r="G103" i="11"/>
  <c r="I102" i="11"/>
  <c r="I101" i="11" s="1"/>
  <c r="G100" i="11"/>
  <c r="G99" i="11"/>
  <c r="G98" i="11"/>
  <c r="K97" i="11"/>
  <c r="J97" i="11"/>
  <c r="J95" i="11" s="1"/>
  <c r="I97" i="11"/>
  <c r="I95" i="11" s="1"/>
  <c r="H97" i="11"/>
  <c r="G97" i="11" s="1"/>
  <c r="G96" i="11"/>
  <c r="K95" i="11"/>
  <c r="H95" i="11"/>
  <c r="G95" i="11" s="1"/>
  <c r="G93" i="11"/>
  <c r="G92" i="11"/>
  <c r="G91" i="11"/>
  <c r="H88" i="11"/>
  <c r="J87" i="11"/>
  <c r="G86" i="11"/>
  <c r="K85" i="11"/>
  <c r="J85" i="11"/>
  <c r="J88" i="11" s="1"/>
  <c r="I85" i="11"/>
  <c r="H85" i="11"/>
  <c r="G85" i="11"/>
  <c r="G84" i="11"/>
  <c r="G83" i="11"/>
  <c r="G81" i="11"/>
  <c r="I79" i="11"/>
  <c r="G79" i="11"/>
  <c r="K77" i="11"/>
  <c r="J77" i="11"/>
  <c r="J71" i="11" s="1"/>
  <c r="I77" i="11"/>
  <c r="H77" i="11"/>
  <c r="G77" i="11" s="1"/>
  <c r="G76" i="11"/>
  <c r="G75" i="11"/>
  <c r="K74" i="11"/>
  <c r="J74" i="11"/>
  <c r="I74" i="11"/>
  <c r="G74" i="11" s="1"/>
  <c r="G73" i="11"/>
  <c r="G72" i="11"/>
  <c r="K71" i="11"/>
  <c r="G70" i="11"/>
  <c r="G69" i="11"/>
  <c r="I65" i="11"/>
  <c r="H65" i="11"/>
  <c r="J63" i="11"/>
  <c r="J61" i="11" s="1"/>
  <c r="I63" i="11"/>
  <c r="H63" i="11"/>
  <c r="G63" i="11" s="1"/>
  <c r="K61" i="11"/>
  <c r="I61" i="11"/>
  <c r="K58" i="11"/>
  <c r="J58" i="11"/>
  <c r="J53" i="11" s="1"/>
  <c r="I58" i="11"/>
  <c r="H58" i="11"/>
  <c r="G58" i="11" s="1"/>
  <c r="K55" i="11"/>
  <c r="K53" i="11" s="1"/>
  <c r="J55" i="11"/>
  <c r="I55" i="11"/>
  <c r="H55" i="11"/>
  <c r="G55" i="11"/>
  <c r="G54" i="11"/>
  <c r="I53" i="11"/>
  <c r="K50" i="11"/>
  <c r="H50" i="11"/>
  <c r="K49" i="11"/>
  <c r="K87" i="11" s="1"/>
  <c r="J49" i="11"/>
  <c r="J50" i="11" s="1"/>
  <c r="I49" i="11"/>
  <c r="I87" i="11" s="1"/>
  <c r="G49" i="11"/>
  <c r="G48" i="11"/>
  <c r="G47" i="11"/>
  <c r="G46" i="11"/>
  <c r="G45" i="11"/>
  <c r="H44" i="11"/>
  <c r="G43" i="11"/>
  <c r="G41" i="11"/>
  <c r="K39" i="11"/>
  <c r="G39" i="11" s="1"/>
  <c r="J39" i="11"/>
  <c r="I39" i="11"/>
  <c r="H39" i="11"/>
  <c r="H33" i="11" s="1"/>
  <c r="G38" i="11"/>
  <c r="G37" i="11"/>
  <c r="I36" i="11"/>
  <c r="I33" i="11" s="1"/>
  <c r="G36" i="11"/>
  <c r="G35" i="11"/>
  <c r="G34" i="11"/>
  <c r="J33" i="11"/>
  <c r="J126" i="11" s="1"/>
  <c r="G32" i="11"/>
  <c r="G31" i="11"/>
  <c r="I27" i="11"/>
  <c r="H27" i="11"/>
  <c r="G25" i="11"/>
  <c r="K23" i="11"/>
  <c r="J23" i="11"/>
  <c r="I23" i="11"/>
  <c r="H23" i="11"/>
  <c r="G23" i="11" s="1"/>
  <c r="K20" i="11"/>
  <c r="J20" i="11"/>
  <c r="J15" i="11" s="1"/>
  <c r="I20" i="11"/>
  <c r="H20" i="11"/>
  <c r="K17" i="11"/>
  <c r="K15" i="11" s="1"/>
  <c r="J17" i="11"/>
  <c r="I17" i="11"/>
  <c r="H17" i="11"/>
  <c r="H15" i="11" s="1"/>
  <c r="G17" i="11"/>
  <c r="G16" i="11"/>
  <c r="I15" i="11"/>
  <c r="D9" i="11"/>
  <c r="J29" i="11" l="1"/>
  <c r="I126" i="11"/>
  <c r="H51" i="11"/>
  <c r="G15" i="11"/>
  <c r="G87" i="11"/>
  <c r="I88" i="11"/>
  <c r="J124" i="11"/>
  <c r="J122" i="11" s="1"/>
  <c r="J148" i="11"/>
  <c r="J146" i="11" s="1"/>
  <c r="J144" i="11" s="1"/>
  <c r="K88" i="11"/>
  <c r="G135" i="11"/>
  <c r="G20" i="11"/>
  <c r="K33" i="11"/>
  <c r="K126" i="11" s="1"/>
  <c r="I44" i="11"/>
  <c r="I82" i="11" s="1"/>
  <c r="H71" i="11"/>
  <c r="H104" i="11"/>
  <c r="H124" i="11"/>
  <c r="J28" i="11"/>
  <c r="I50" i="11"/>
  <c r="G50" i="11" s="1"/>
  <c r="I71" i="11"/>
  <c r="I89" i="11" s="1"/>
  <c r="H82" i="11"/>
  <c r="I128" i="11"/>
  <c r="G128" i="11" s="1"/>
  <c r="H148" i="11"/>
  <c r="H61" i="11"/>
  <c r="H134" i="11"/>
  <c r="G134" i="11" s="1"/>
  <c r="H53" i="11" l="1"/>
  <c r="G61" i="11"/>
  <c r="I51" i="11"/>
  <c r="H146" i="11"/>
  <c r="G148" i="11"/>
  <c r="H122" i="11"/>
  <c r="K148" i="11"/>
  <c r="K146" i="11" s="1"/>
  <c r="K144" i="11" s="1"/>
  <c r="K124" i="11"/>
  <c r="K122" i="11" s="1"/>
  <c r="G88" i="11"/>
  <c r="H102" i="11"/>
  <c r="G104" i="11"/>
  <c r="I148" i="11"/>
  <c r="I146" i="11" s="1"/>
  <c r="I144" i="11" s="1"/>
  <c r="I124" i="11"/>
  <c r="I122" i="11" s="1"/>
  <c r="J27" i="11"/>
  <c r="J66" i="11"/>
  <c r="G28" i="11"/>
  <c r="G71" i="11"/>
  <c r="G33" i="11"/>
  <c r="G126" i="11"/>
  <c r="J67" i="11"/>
  <c r="G67" i="11" s="1"/>
  <c r="G29" i="11"/>
  <c r="H89" i="11" l="1"/>
  <c r="G53" i="11"/>
  <c r="G102" i="11"/>
  <c r="H101" i="11"/>
  <c r="G101" i="11" s="1"/>
  <c r="G146" i="11"/>
  <c r="H144" i="11"/>
  <c r="G144" i="11" s="1"/>
  <c r="J65" i="11"/>
  <c r="G66" i="11"/>
  <c r="G124" i="11"/>
  <c r="J44" i="11"/>
  <c r="K30" i="11"/>
  <c r="J51" i="11"/>
  <c r="G122" i="11"/>
  <c r="K44" i="11" l="1"/>
  <c r="K82" i="11" s="1"/>
  <c r="K27" i="11"/>
  <c r="K68" i="11"/>
  <c r="G30" i="11"/>
  <c r="J82" i="11"/>
  <c r="G82" i="11" s="1"/>
  <c r="G44" i="11"/>
  <c r="J89" i="11"/>
  <c r="K65" i="11" l="1"/>
  <c r="G68" i="11"/>
  <c r="K51" i="11"/>
  <c r="G51" i="11" s="1"/>
  <c r="G27" i="11"/>
  <c r="K89" i="11" l="1"/>
  <c r="G89" i="11" s="1"/>
  <c r="G65" i="11"/>
  <c r="K148" i="10" l="1"/>
  <c r="J148" i="10"/>
  <c r="I148" i="10"/>
  <c r="H148" i="10"/>
  <c r="I147" i="10"/>
  <c r="F153" i="10"/>
  <c r="I150" i="10"/>
  <c r="F150" i="10"/>
  <c r="G145" i="10"/>
  <c r="G143" i="10"/>
  <c r="G142" i="10"/>
  <c r="G141" i="10"/>
  <c r="K140" i="10"/>
  <c r="J140" i="10"/>
  <c r="I140" i="10"/>
  <c r="H140" i="10"/>
  <c r="G140" i="10" s="1"/>
  <c r="G139" i="10"/>
  <c r="G138" i="10"/>
  <c r="K137" i="10"/>
  <c r="K135" i="10" s="1"/>
  <c r="K134" i="10" s="1"/>
  <c r="J137" i="10"/>
  <c r="I137" i="10"/>
  <c r="H137" i="10"/>
  <c r="G137" i="10"/>
  <c r="G136" i="10"/>
  <c r="J135" i="10"/>
  <c r="I135" i="10"/>
  <c r="I134" i="10" s="1"/>
  <c r="H135" i="10"/>
  <c r="J134" i="10"/>
  <c r="G133" i="10"/>
  <c r="G132" i="10"/>
  <c r="G131" i="10"/>
  <c r="K130" i="10"/>
  <c r="J130" i="10"/>
  <c r="J128" i="10" s="1"/>
  <c r="I130" i="10"/>
  <c r="H130" i="10"/>
  <c r="G130" i="10" s="1"/>
  <c r="G129" i="10"/>
  <c r="K128" i="10"/>
  <c r="I128" i="10"/>
  <c r="H128" i="10"/>
  <c r="G128" i="10" s="1"/>
  <c r="H126" i="10"/>
  <c r="I125" i="10"/>
  <c r="G125" i="10"/>
  <c r="H124" i="10"/>
  <c r="G123" i="10"/>
  <c r="G121" i="10"/>
  <c r="G120" i="10"/>
  <c r="G119" i="10"/>
  <c r="K118" i="10"/>
  <c r="J118" i="10"/>
  <c r="I118" i="10"/>
  <c r="H118" i="10"/>
  <c r="G118" i="10" s="1"/>
  <c r="G117" i="10"/>
  <c r="G116" i="10"/>
  <c r="G115" i="10"/>
  <c r="G114" i="10"/>
  <c r="G113" i="10"/>
  <c r="G112" i="10"/>
  <c r="K111" i="10"/>
  <c r="J111" i="10"/>
  <c r="I111" i="10"/>
  <c r="G111" i="10" s="1"/>
  <c r="H111" i="10"/>
  <c r="G110" i="10"/>
  <c r="G109" i="10"/>
  <c r="K108" i="10"/>
  <c r="J108" i="10"/>
  <c r="I108" i="10"/>
  <c r="H108" i="10"/>
  <c r="G108" i="10" s="1"/>
  <c r="G107" i="10"/>
  <c r="G106" i="10"/>
  <c r="K105" i="10"/>
  <c r="K104" i="10" s="1"/>
  <c r="K102" i="10" s="1"/>
  <c r="K101" i="10" s="1"/>
  <c r="J105" i="10"/>
  <c r="I105" i="10"/>
  <c r="I104" i="10" s="1"/>
  <c r="I102" i="10" s="1"/>
  <c r="I101" i="10" s="1"/>
  <c r="H105" i="10"/>
  <c r="J104" i="10"/>
  <c r="H104" i="10"/>
  <c r="G103" i="10"/>
  <c r="J102" i="10"/>
  <c r="J101" i="10" s="1"/>
  <c r="G100" i="10"/>
  <c r="G99" i="10"/>
  <c r="G98" i="10"/>
  <c r="K97" i="10"/>
  <c r="K95" i="10" s="1"/>
  <c r="J97" i="10"/>
  <c r="I97" i="10"/>
  <c r="H97" i="10"/>
  <c r="G97" i="10"/>
  <c r="G96" i="10"/>
  <c r="J95" i="10"/>
  <c r="I95" i="10"/>
  <c r="G95" i="10" s="1"/>
  <c r="H95" i="10"/>
  <c r="G93" i="10"/>
  <c r="G92" i="10"/>
  <c r="G91" i="10"/>
  <c r="K87" i="10"/>
  <c r="G86" i="10"/>
  <c r="K85" i="10"/>
  <c r="K88" i="10" s="1"/>
  <c r="J85" i="10"/>
  <c r="I85" i="10"/>
  <c r="H85" i="10"/>
  <c r="G85" i="10" s="1"/>
  <c r="G84" i="10"/>
  <c r="G83" i="10"/>
  <c r="G81" i="10"/>
  <c r="I79" i="10"/>
  <c r="G79" i="10" s="1"/>
  <c r="K77" i="10"/>
  <c r="K71" i="10" s="1"/>
  <c r="J77" i="10"/>
  <c r="I77" i="10"/>
  <c r="H77" i="10"/>
  <c r="G77" i="10"/>
  <c r="G76" i="10"/>
  <c r="G75" i="10"/>
  <c r="K74" i="10"/>
  <c r="J74" i="10"/>
  <c r="J71" i="10" s="1"/>
  <c r="G73" i="10"/>
  <c r="G72" i="10"/>
  <c r="H71" i="10"/>
  <c r="G70" i="10"/>
  <c r="G69" i="10"/>
  <c r="J66" i="10"/>
  <c r="G66" i="10" s="1"/>
  <c r="I65" i="10"/>
  <c r="H65" i="10"/>
  <c r="J63" i="10"/>
  <c r="I63" i="10"/>
  <c r="I61" i="10" s="1"/>
  <c r="H63" i="10"/>
  <c r="K61" i="10"/>
  <c r="J61" i="10"/>
  <c r="H61" i="10"/>
  <c r="G61" i="10" s="1"/>
  <c r="K58" i="10"/>
  <c r="K53" i="10" s="1"/>
  <c r="J58" i="10"/>
  <c r="I58" i="10"/>
  <c r="I53" i="10" s="1"/>
  <c r="H58" i="10"/>
  <c r="G58" i="10"/>
  <c r="K55" i="10"/>
  <c r="J55" i="10"/>
  <c r="I55" i="10"/>
  <c r="H55" i="10"/>
  <c r="G55" i="10" s="1"/>
  <c r="G54" i="10"/>
  <c r="J53" i="10"/>
  <c r="J50" i="10"/>
  <c r="H50" i="10"/>
  <c r="K49" i="10"/>
  <c r="K50" i="10" s="1"/>
  <c r="J49" i="10"/>
  <c r="J87" i="10" s="1"/>
  <c r="J88" i="10" s="1"/>
  <c r="I49" i="10"/>
  <c r="G49" i="10" s="1"/>
  <c r="G48" i="10"/>
  <c r="G47" i="10"/>
  <c r="G46" i="10"/>
  <c r="G45" i="10"/>
  <c r="H44" i="10"/>
  <c r="H82" i="10" s="1"/>
  <c r="G43" i="10"/>
  <c r="G41" i="10"/>
  <c r="K39" i="10"/>
  <c r="J39" i="10"/>
  <c r="J33" i="10" s="1"/>
  <c r="J126" i="10" s="1"/>
  <c r="I39" i="10"/>
  <c r="H39" i="10"/>
  <c r="G39" i="10" s="1"/>
  <c r="G38" i="10"/>
  <c r="G37" i="10"/>
  <c r="I36" i="10"/>
  <c r="I74" i="10" s="1"/>
  <c r="G35" i="10"/>
  <c r="G34" i="10"/>
  <c r="K33" i="10"/>
  <c r="K126" i="10" s="1"/>
  <c r="G32" i="10"/>
  <c r="G31" i="10"/>
  <c r="J28" i="10"/>
  <c r="G28" i="10"/>
  <c r="I27" i="10"/>
  <c r="H27" i="10"/>
  <c r="G25" i="10"/>
  <c r="K23" i="10"/>
  <c r="J23" i="10"/>
  <c r="I23" i="10"/>
  <c r="H23" i="10"/>
  <c r="G23" i="10" s="1"/>
  <c r="K20" i="10"/>
  <c r="K15" i="10" s="1"/>
  <c r="J20" i="10"/>
  <c r="I20" i="10"/>
  <c r="I15" i="10" s="1"/>
  <c r="H20" i="10"/>
  <c r="G20" i="10"/>
  <c r="K17" i="10"/>
  <c r="J17" i="10"/>
  <c r="I17" i="10"/>
  <c r="H17" i="10"/>
  <c r="G17" i="10" s="1"/>
  <c r="G16" i="10"/>
  <c r="J15" i="10"/>
  <c r="D9" i="10"/>
  <c r="K124" i="10" l="1"/>
  <c r="K122" i="10" s="1"/>
  <c r="K146" i="10"/>
  <c r="K144" i="10" s="1"/>
  <c r="J146" i="10"/>
  <c r="J144" i="10" s="1"/>
  <c r="J124" i="10"/>
  <c r="J122" i="10" s="1"/>
  <c r="G71" i="10"/>
  <c r="G147" i="10"/>
  <c r="H146" i="10"/>
  <c r="G74" i="10"/>
  <c r="I71" i="10"/>
  <c r="G104" i="10"/>
  <c r="H33" i="10"/>
  <c r="I50" i="10"/>
  <c r="G50" i="10" s="1"/>
  <c r="H15" i="10"/>
  <c r="I33" i="10"/>
  <c r="H53" i="10"/>
  <c r="G63" i="10"/>
  <c r="I87" i="10"/>
  <c r="G87" i="10" s="1"/>
  <c r="H88" i="10"/>
  <c r="H102" i="10"/>
  <c r="H122" i="10"/>
  <c r="H134" i="10"/>
  <c r="G134" i="10" s="1"/>
  <c r="G135" i="10"/>
  <c r="G105" i="10"/>
  <c r="G36" i="10"/>
  <c r="H89" i="10" l="1"/>
  <c r="G53" i="10"/>
  <c r="J29" i="10"/>
  <c r="I126" i="10"/>
  <c r="G33" i="10"/>
  <c r="H144" i="10"/>
  <c r="I51" i="10"/>
  <c r="G102" i="10"/>
  <c r="H101" i="10"/>
  <c r="G101" i="10" s="1"/>
  <c r="H51" i="10"/>
  <c r="G15" i="10"/>
  <c r="I44" i="10"/>
  <c r="I88" i="10"/>
  <c r="G88" i="10" s="1"/>
  <c r="G126" i="10" l="1"/>
  <c r="I124" i="10"/>
  <c r="J67" i="10"/>
  <c r="G29" i="10"/>
  <c r="J27" i="10"/>
  <c r="I82" i="10"/>
  <c r="G67" i="10" l="1"/>
  <c r="J65" i="10"/>
  <c r="K30" i="10"/>
  <c r="J44" i="10"/>
  <c r="G148" i="10"/>
  <c r="I146" i="10"/>
  <c r="I89" i="10"/>
  <c r="I122" i="10"/>
  <c r="G122" i="10" s="1"/>
  <c r="G124" i="10"/>
  <c r="I144" i="10" l="1"/>
  <c r="G144" i="10" s="1"/>
  <c r="G146" i="10"/>
  <c r="K27" i="10"/>
  <c r="K68" i="10"/>
  <c r="K44" i="10"/>
  <c r="K82" i="10" s="1"/>
  <c r="G30" i="10"/>
  <c r="J82" i="10"/>
  <c r="G82" i="10" s="1"/>
  <c r="J89" i="10"/>
  <c r="J51" i="10"/>
  <c r="G44" i="10" l="1"/>
  <c r="G68" i="10"/>
  <c r="K65" i="10"/>
  <c r="K51" i="10"/>
  <c r="G51" i="10" s="1"/>
  <c r="G27" i="10"/>
  <c r="K89" i="10" l="1"/>
  <c r="G89" i="10" s="1"/>
  <c r="G65" i="10"/>
  <c r="K150" i="9" l="1"/>
  <c r="J150" i="9"/>
  <c r="I150" i="9"/>
  <c r="H150" i="9"/>
  <c r="I149" i="9"/>
  <c r="K150" i="8"/>
  <c r="J150" i="8"/>
  <c r="I150" i="8"/>
  <c r="H150" i="8"/>
  <c r="I149" i="8"/>
  <c r="K150" i="7"/>
  <c r="J150" i="7"/>
  <c r="I150" i="7"/>
  <c r="H150" i="7"/>
  <c r="I149" i="7"/>
  <c r="K148" i="6"/>
  <c r="J148" i="6"/>
  <c r="I148" i="6"/>
  <c r="H148" i="6"/>
  <c r="I147" i="6"/>
  <c r="K148" i="5"/>
  <c r="J148" i="5"/>
  <c r="I148" i="5"/>
  <c r="H148" i="5"/>
  <c r="I147" i="5"/>
  <c r="I142" i="4"/>
  <c r="H142" i="4"/>
  <c r="G142" i="4"/>
  <c r="F142" i="4"/>
  <c r="G141" i="4"/>
  <c r="I142" i="3"/>
  <c r="H142" i="3"/>
  <c r="G142" i="3"/>
  <c r="F142" i="3"/>
  <c r="G141" i="3"/>
  <c r="I142" i="2"/>
  <c r="H142" i="2"/>
  <c r="G142" i="2"/>
  <c r="F142" i="2"/>
  <c r="G141" i="2"/>
  <c r="I142" i="1"/>
  <c r="H142" i="1"/>
  <c r="G142" i="1"/>
  <c r="G141" i="1"/>
  <c r="F155" i="9" l="1"/>
  <c r="I152" i="9"/>
  <c r="F152" i="9"/>
  <c r="G147" i="9"/>
  <c r="G145" i="9"/>
  <c r="G144" i="9"/>
  <c r="G143" i="9"/>
  <c r="K142" i="9"/>
  <c r="J142" i="9"/>
  <c r="I142" i="9"/>
  <c r="G142" i="9" s="1"/>
  <c r="H142" i="9"/>
  <c r="G141" i="9"/>
  <c r="G140" i="9"/>
  <c r="K139" i="9"/>
  <c r="J139" i="9"/>
  <c r="I139" i="9"/>
  <c r="I137" i="9" s="1"/>
  <c r="I136" i="9" s="1"/>
  <c r="H139" i="9"/>
  <c r="H137" i="9" s="1"/>
  <c r="G138" i="9"/>
  <c r="K137" i="9"/>
  <c r="J137" i="9"/>
  <c r="J136" i="9" s="1"/>
  <c r="K136" i="9"/>
  <c r="G135" i="9"/>
  <c r="G134" i="9"/>
  <c r="G133" i="9"/>
  <c r="K132" i="9"/>
  <c r="K130" i="9" s="1"/>
  <c r="J132" i="9"/>
  <c r="I132" i="9"/>
  <c r="H132" i="9"/>
  <c r="H130" i="9" s="1"/>
  <c r="G132" i="9"/>
  <c r="G131" i="9"/>
  <c r="J130" i="9"/>
  <c r="I130" i="9"/>
  <c r="H128" i="9"/>
  <c r="I127" i="9"/>
  <c r="G125" i="9"/>
  <c r="G123" i="9"/>
  <c r="G122" i="9"/>
  <c r="G121" i="9"/>
  <c r="K120" i="9"/>
  <c r="J120" i="9"/>
  <c r="I120" i="9"/>
  <c r="H120" i="9"/>
  <c r="G120" i="9"/>
  <c r="G119" i="9"/>
  <c r="G118" i="9"/>
  <c r="G117" i="9"/>
  <c r="G116" i="9"/>
  <c r="G115" i="9"/>
  <c r="G114" i="9"/>
  <c r="K113" i="9"/>
  <c r="J113" i="9"/>
  <c r="I113" i="9"/>
  <c r="H113" i="9"/>
  <c r="G113" i="9" s="1"/>
  <c r="G112" i="9"/>
  <c r="G111" i="9"/>
  <c r="K110" i="9"/>
  <c r="J110" i="9"/>
  <c r="I110" i="9"/>
  <c r="G110" i="9" s="1"/>
  <c r="H110" i="9"/>
  <c r="G109" i="9"/>
  <c r="G108" i="9"/>
  <c r="K107" i="9"/>
  <c r="J107" i="9"/>
  <c r="J106" i="9" s="1"/>
  <c r="J104" i="9" s="1"/>
  <c r="J103" i="9" s="1"/>
  <c r="I107" i="9"/>
  <c r="H107" i="9"/>
  <c r="G107" i="9" s="1"/>
  <c r="K106" i="9"/>
  <c r="I106" i="9"/>
  <c r="I104" i="9" s="1"/>
  <c r="I103" i="9" s="1"/>
  <c r="G105" i="9"/>
  <c r="K104" i="9"/>
  <c r="K103" i="9" s="1"/>
  <c r="G102" i="9"/>
  <c r="G101" i="9"/>
  <c r="G100" i="9"/>
  <c r="K99" i="9"/>
  <c r="J99" i="9"/>
  <c r="I99" i="9"/>
  <c r="I97" i="9" s="1"/>
  <c r="H99" i="9"/>
  <c r="H97" i="9" s="1"/>
  <c r="G98" i="9"/>
  <c r="K97" i="9"/>
  <c r="J97" i="9"/>
  <c r="G95" i="9"/>
  <c r="G94" i="9"/>
  <c r="G93" i="9"/>
  <c r="H90" i="9"/>
  <c r="G88" i="9"/>
  <c r="K87" i="9"/>
  <c r="J87" i="9"/>
  <c r="I87" i="9"/>
  <c r="I90" i="9" s="1"/>
  <c r="H87" i="9"/>
  <c r="G86" i="9"/>
  <c r="G85" i="9"/>
  <c r="G83" i="9"/>
  <c r="I81" i="9"/>
  <c r="G81" i="9"/>
  <c r="K79" i="9"/>
  <c r="J79" i="9"/>
  <c r="J73" i="9" s="1"/>
  <c r="I79" i="9"/>
  <c r="H79" i="9"/>
  <c r="G79" i="9" s="1"/>
  <c r="G78" i="9"/>
  <c r="G77" i="9"/>
  <c r="K76" i="9"/>
  <c r="K73" i="9" s="1"/>
  <c r="J76" i="9"/>
  <c r="G75" i="9"/>
  <c r="G74" i="9"/>
  <c r="G72" i="9"/>
  <c r="G71" i="9"/>
  <c r="I67" i="9"/>
  <c r="H67" i="9"/>
  <c r="J65" i="9"/>
  <c r="J63" i="9" s="1"/>
  <c r="I65" i="9"/>
  <c r="H65" i="9"/>
  <c r="G65" i="9" s="1"/>
  <c r="K63" i="9"/>
  <c r="I63" i="9"/>
  <c r="K60" i="9"/>
  <c r="J60" i="9"/>
  <c r="I60" i="9"/>
  <c r="H60" i="9"/>
  <c r="G60" i="9" s="1"/>
  <c r="J58" i="9"/>
  <c r="G58" i="9" s="1"/>
  <c r="K56" i="9"/>
  <c r="K54" i="9" s="1"/>
  <c r="I56" i="9"/>
  <c r="H56" i="9"/>
  <c r="G55" i="9"/>
  <c r="I54" i="9"/>
  <c r="K51" i="9"/>
  <c r="I51" i="9"/>
  <c r="H51" i="9"/>
  <c r="K50" i="9"/>
  <c r="K89" i="9" s="1"/>
  <c r="K90" i="9" s="1"/>
  <c r="J50" i="9"/>
  <c r="J51" i="9" s="1"/>
  <c r="G51" i="9" s="1"/>
  <c r="I50" i="9"/>
  <c r="I89" i="9" s="1"/>
  <c r="G50" i="9"/>
  <c r="G49" i="9"/>
  <c r="G48" i="9"/>
  <c r="G47" i="9"/>
  <c r="G46" i="9"/>
  <c r="H45" i="9"/>
  <c r="H84" i="9" s="1"/>
  <c r="G44" i="9"/>
  <c r="G42" i="9"/>
  <c r="K40" i="9"/>
  <c r="K34" i="9" s="1"/>
  <c r="K128" i="9" s="1"/>
  <c r="J40" i="9"/>
  <c r="I40" i="9"/>
  <c r="H40" i="9"/>
  <c r="G39" i="9"/>
  <c r="G38" i="9"/>
  <c r="I37" i="9"/>
  <c r="I34" i="9" s="1"/>
  <c r="G37" i="9"/>
  <c r="G36" i="9"/>
  <c r="G35" i="9"/>
  <c r="J34" i="9"/>
  <c r="J128" i="9" s="1"/>
  <c r="H34" i="9"/>
  <c r="G33" i="9"/>
  <c r="G32" i="9"/>
  <c r="I28" i="9"/>
  <c r="H28" i="9"/>
  <c r="G26" i="9"/>
  <c r="K24" i="9"/>
  <c r="K15" i="9" s="1"/>
  <c r="J24" i="9"/>
  <c r="I24" i="9"/>
  <c r="G24" i="9" s="1"/>
  <c r="H24" i="9"/>
  <c r="K21" i="9"/>
  <c r="J21" i="9"/>
  <c r="I21" i="9"/>
  <c r="H21" i="9"/>
  <c r="G21" i="9" s="1"/>
  <c r="G19" i="9"/>
  <c r="K17" i="9"/>
  <c r="J17" i="9"/>
  <c r="I17" i="9"/>
  <c r="I15" i="9" s="1"/>
  <c r="H17" i="9"/>
  <c r="H15" i="9" s="1"/>
  <c r="G16" i="9"/>
  <c r="J15" i="9"/>
  <c r="D9" i="9"/>
  <c r="J148" i="9" l="1"/>
  <c r="J146" i="9" s="1"/>
  <c r="J126" i="9"/>
  <c r="J124" i="9" s="1"/>
  <c r="J30" i="9"/>
  <c r="I128" i="9"/>
  <c r="I45" i="9"/>
  <c r="I84" i="9" s="1"/>
  <c r="K126" i="9"/>
  <c r="K124" i="9" s="1"/>
  <c r="K148" i="9"/>
  <c r="K146" i="9" s="1"/>
  <c r="G128" i="9"/>
  <c r="G137" i="9"/>
  <c r="H136" i="9"/>
  <c r="G136" i="9" s="1"/>
  <c r="G34" i="9"/>
  <c r="H54" i="9"/>
  <c r="G97" i="9"/>
  <c r="G130" i="9"/>
  <c r="H52" i="9"/>
  <c r="G15" i="9"/>
  <c r="G149" i="9"/>
  <c r="J29" i="9"/>
  <c r="I76" i="9"/>
  <c r="G87" i="9"/>
  <c r="J89" i="9"/>
  <c r="G89" i="9" s="1"/>
  <c r="G17" i="9"/>
  <c r="J56" i="9"/>
  <c r="H73" i="9"/>
  <c r="G99" i="9"/>
  <c r="H106" i="9"/>
  <c r="H126" i="9"/>
  <c r="G127" i="9"/>
  <c r="G139" i="9"/>
  <c r="G40" i="9"/>
  <c r="H63" i="9"/>
  <c r="G63" i="9" s="1"/>
  <c r="G29" i="9" l="1"/>
  <c r="J68" i="9"/>
  <c r="J28" i="9"/>
  <c r="I148" i="9"/>
  <c r="I146" i="9" s="1"/>
  <c r="I126" i="9"/>
  <c r="I124" i="9" s="1"/>
  <c r="G126" i="9"/>
  <c r="H124" i="9"/>
  <c r="J54" i="9"/>
  <c r="G56" i="9"/>
  <c r="H91" i="9"/>
  <c r="J69" i="9"/>
  <c r="G69" i="9" s="1"/>
  <c r="G30" i="9"/>
  <c r="H148" i="9"/>
  <c r="G106" i="9"/>
  <c r="H104" i="9"/>
  <c r="G76" i="9"/>
  <c r="I73" i="9"/>
  <c r="I91" i="9" s="1"/>
  <c r="J90" i="9"/>
  <c r="G90" i="9" s="1"/>
  <c r="I52" i="9"/>
  <c r="G73" i="9" l="1"/>
  <c r="G104" i="9"/>
  <c r="H103" i="9"/>
  <c r="G103" i="9" s="1"/>
  <c r="J45" i="9"/>
  <c r="K31" i="9"/>
  <c r="J52" i="9"/>
  <c r="G148" i="9"/>
  <c r="H146" i="9"/>
  <c r="G146" i="9" s="1"/>
  <c r="J67" i="9"/>
  <c r="G68" i="9"/>
  <c r="G150" i="9"/>
  <c r="G54" i="9"/>
  <c r="G124" i="9"/>
  <c r="J91" i="9" l="1"/>
  <c r="G31" i="9"/>
  <c r="K70" i="9"/>
  <c r="K45" i="9"/>
  <c r="K84" i="9" s="1"/>
  <c r="K28" i="9"/>
  <c r="J84" i="9"/>
  <c r="G45" i="9"/>
  <c r="K52" i="9" l="1"/>
  <c r="G52" i="9" s="1"/>
  <c r="G28" i="9"/>
  <c r="G84" i="9"/>
  <c r="K67" i="9"/>
  <c r="G70" i="9"/>
  <c r="K91" i="9" l="1"/>
  <c r="G91" i="9" s="1"/>
  <c r="G67" i="9"/>
  <c r="F155" i="8" l="1"/>
  <c r="I152" i="8"/>
  <c r="F152" i="8"/>
  <c r="H148" i="8"/>
  <c r="G147" i="8"/>
  <c r="G145" i="8"/>
  <c r="G144" i="8"/>
  <c r="G143" i="8"/>
  <c r="K142" i="8"/>
  <c r="J142" i="8"/>
  <c r="I142" i="8"/>
  <c r="H142" i="8"/>
  <c r="G142" i="8" s="1"/>
  <c r="G141" i="8"/>
  <c r="G140" i="8"/>
  <c r="K139" i="8"/>
  <c r="K137" i="8" s="1"/>
  <c r="K136" i="8" s="1"/>
  <c r="J139" i="8"/>
  <c r="I139" i="8"/>
  <c r="H139" i="8"/>
  <c r="H137" i="8" s="1"/>
  <c r="G138" i="8"/>
  <c r="J137" i="8"/>
  <c r="J136" i="8" s="1"/>
  <c r="I137" i="8"/>
  <c r="I136" i="8" s="1"/>
  <c r="G135" i="8"/>
  <c r="G134" i="8"/>
  <c r="G133" i="8"/>
  <c r="K132" i="8"/>
  <c r="K130" i="8" s="1"/>
  <c r="J132" i="8"/>
  <c r="J130" i="8" s="1"/>
  <c r="I132" i="8"/>
  <c r="H132" i="8"/>
  <c r="G132" i="8"/>
  <c r="G131" i="8"/>
  <c r="I130" i="8"/>
  <c r="H130" i="8"/>
  <c r="H128" i="8"/>
  <c r="I127" i="8"/>
  <c r="H126" i="8"/>
  <c r="G125" i="8"/>
  <c r="G123" i="8"/>
  <c r="G122" i="8"/>
  <c r="G121" i="8"/>
  <c r="K120" i="8"/>
  <c r="J120" i="8"/>
  <c r="I120" i="8"/>
  <c r="H120" i="8"/>
  <c r="G120" i="8"/>
  <c r="G119" i="8"/>
  <c r="G118" i="8"/>
  <c r="G117" i="8"/>
  <c r="G116" i="8"/>
  <c r="G115" i="8"/>
  <c r="G114" i="8"/>
  <c r="K113" i="8"/>
  <c r="J113" i="8"/>
  <c r="I113" i="8"/>
  <c r="H113" i="8"/>
  <c r="G113" i="8" s="1"/>
  <c r="G112" i="8"/>
  <c r="G111" i="8"/>
  <c r="K110" i="8"/>
  <c r="J110" i="8"/>
  <c r="I110" i="8"/>
  <c r="H110" i="8"/>
  <c r="G110" i="8" s="1"/>
  <c r="G109" i="8"/>
  <c r="G108" i="8"/>
  <c r="K107" i="8"/>
  <c r="K106" i="8" s="1"/>
  <c r="K104" i="8" s="1"/>
  <c r="K103" i="8" s="1"/>
  <c r="J107" i="8"/>
  <c r="J106" i="8" s="1"/>
  <c r="J104" i="8" s="1"/>
  <c r="J103" i="8" s="1"/>
  <c r="I107" i="8"/>
  <c r="H107" i="8"/>
  <c r="G107" i="8" s="1"/>
  <c r="I106" i="8"/>
  <c r="I104" i="8" s="1"/>
  <c r="I103" i="8" s="1"/>
  <c r="G105" i="8"/>
  <c r="G102" i="8"/>
  <c r="G101" i="8"/>
  <c r="G100" i="8"/>
  <c r="K99" i="8"/>
  <c r="K97" i="8" s="1"/>
  <c r="J99" i="8"/>
  <c r="I99" i="8"/>
  <c r="H99" i="8"/>
  <c r="H97" i="8" s="1"/>
  <c r="G97" i="8" s="1"/>
  <c r="G98" i="8"/>
  <c r="J97" i="8"/>
  <c r="I97" i="8"/>
  <c r="G95" i="8"/>
  <c r="G94" i="8"/>
  <c r="G93" i="8"/>
  <c r="G88" i="8"/>
  <c r="K87" i="8"/>
  <c r="J87" i="8"/>
  <c r="I87" i="8"/>
  <c r="H87" i="8"/>
  <c r="G87" i="8" s="1"/>
  <c r="G86" i="8"/>
  <c r="G85" i="8"/>
  <c r="G83" i="8"/>
  <c r="I81" i="8"/>
  <c r="G81" i="8" s="1"/>
  <c r="K79" i="8"/>
  <c r="K73" i="8" s="1"/>
  <c r="J79" i="8"/>
  <c r="I79" i="8"/>
  <c r="H79" i="8"/>
  <c r="G79" i="8"/>
  <c r="G78" i="8"/>
  <c r="G77" i="8"/>
  <c r="K76" i="8"/>
  <c r="J76" i="8"/>
  <c r="J73" i="8" s="1"/>
  <c r="I76" i="8"/>
  <c r="G76" i="8" s="1"/>
  <c r="G75" i="8"/>
  <c r="G74" i="8"/>
  <c r="H73" i="8"/>
  <c r="G72" i="8"/>
  <c r="G71" i="8"/>
  <c r="I67" i="8"/>
  <c r="H67" i="8"/>
  <c r="J65" i="8"/>
  <c r="I65" i="8"/>
  <c r="I63" i="8" s="1"/>
  <c r="H65" i="8"/>
  <c r="G65" i="8" s="1"/>
  <c r="K63" i="8"/>
  <c r="J63" i="8"/>
  <c r="K60" i="8"/>
  <c r="J60" i="8"/>
  <c r="I60" i="8"/>
  <c r="H60" i="8"/>
  <c r="G60" i="8"/>
  <c r="J58" i="8"/>
  <c r="G58" i="8" s="1"/>
  <c r="K56" i="8"/>
  <c r="J56" i="8"/>
  <c r="J54" i="8" s="1"/>
  <c r="I56" i="8"/>
  <c r="I54" i="8" s="1"/>
  <c r="H56" i="8"/>
  <c r="G56" i="8" s="1"/>
  <c r="G55" i="8"/>
  <c r="K54" i="8"/>
  <c r="I51" i="8"/>
  <c r="H51" i="8"/>
  <c r="K50" i="8"/>
  <c r="K51" i="8" s="1"/>
  <c r="J50" i="8"/>
  <c r="J89" i="8" s="1"/>
  <c r="J90" i="8" s="1"/>
  <c r="I50" i="8"/>
  <c r="I89" i="8" s="1"/>
  <c r="G49" i="8"/>
  <c r="G48" i="8"/>
  <c r="G47" i="8"/>
  <c r="G46" i="8"/>
  <c r="H45" i="8"/>
  <c r="H84" i="8" s="1"/>
  <c r="G44" i="8"/>
  <c r="G42" i="8"/>
  <c r="K40" i="8"/>
  <c r="J40" i="8"/>
  <c r="J34" i="8" s="1"/>
  <c r="J128" i="8" s="1"/>
  <c r="I40" i="8"/>
  <c r="G40" i="8" s="1"/>
  <c r="H40" i="8"/>
  <c r="G39" i="8"/>
  <c r="G38" i="8"/>
  <c r="I37" i="8"/>
  <c r="G37" i="8"/>
  <c r="G36" i="8"/>
  <c r="G35" i="8"/>
  <c r="K34" i="8"/>
  <c r="K128" i="8" s="1"/>
  <c r="H34" i="8"/>
  <c r="G33" i="8"/>
  <c r="G32" i="8"/>
  <c r="J29" i="8"/>
  <c r="G29" i="8" s="1"/>
  <c r="I28" i="8"/>
  <c r="H28" i="8"/>
  <c r="G26" i="8"/>
  <c r="K24" i="8"/>
  <c r="J24" i="8"/>
  <c r="I24" i="8"/>
  <c r="H24" i="8"/>
  <c r="G24" i="8"/>
  <c r="K21" i="8"/>
  <c r="J21" i="8"/>
  <c r="I21" i="8"/>
  <c r="H21" i="8"/>
  <c r="G21" i="8" s="1"/>
  <c r="G19" i="8"/>
  <c r="K17" i="8"/>
  <c r="K15" i="8" s="1"/>
  <c r="J17" i="8"/>
  <c r="G17" i="8" s="1"/>
  <c r="I17" i="8"/>
  <c r="H17" i="8"/>
  <c r="G16" i="8"/>
  <c r="I15" i="8"/>
  <c r="H15" i="8"/>
  <c r="D9" i="8"/>
  <c r="K126" i="8" l="1"/>
  <c r="K124" i="8" s="1"/>
  <c r="K148" i="8"/>
  <c r="K146" i="8" s="1"/>
  <c r="I90" i="8"/>
  <c r="G130" i="8"/>
  <c r="H146" i="8"/>
  <c r="J148" i="8"/>
  <c r="J146" i="8" s="1"/>
  <c r="J126" i="8"/>
  <c r="J124" i="8" s="1"/>
  <c r="G149" i="8"/>
  <c r="G137" i="8"/>
  <c r="H136" i="8"/>
  <c r="G136" i="8" s="1"/>
  <c r="H52" i="8"/>
  <c r="K89" i="8"/>
  <c r="K90" i="8" s="1"/>
  <c r="G99" i="8"/>
  <c r="H106" i="8"/>
  <c r="G127" i="8"/>
  <c r="G139" i="8"/>
  <c r="I34" i="8"/>
  <c r="J68" i="8"/>
  <c r="J15" i="8"/>
  <c r="G50" i="8"/>
  <c r="I73" i="8"/>
  <c r="H90" i="8"/>
  <c r="H124" i="8"/>
  <c r="J51" i="8"/>
  <c r="G51" i="8" s="1"/>
  <c r="H63" i="8"/>
  <c r="G73" i="8" l="1"/>
  <c r="G15" i="8"/>
  <c r="G90" i="8"/>
  <c r="G68" i="8"/>
  <c r="G63" i="8"/>
  <c r="H54" i="8"/>
  <c r="J30" i="8"/>
  <c r="I128" i="8"/>
  <c r="G106" i="8"/>
  <c r="H104" i="8"/>
  <c r="I45" i="8"/>
  <c r="I52" i="8" s="1"/>
  <c r="G34" i="8"/>
  <c r="G89" i="8"/>
  <c r="J69" i="8" l="1"/>
  <c r="G30" i="8"/>
  <c r="J28" i="8"/>
  <c r="G104" i="8"/>
  <c r="H103" i="8"/>
  <c r="G103" i="8" s="1"/>
  <c r="H91" i="8"/>
  <c r="G54" i="8"/>
  <c r="I84" i="8"/>
  <c r="I126" i="8"/>
  <c r="G128" i="8"/>
  <c r="I91" i="8" l="1"/>
  <c r="I124" i="8"/>
  <c r="G124" i="8" s="1"/>
  <c r="G126" i="8"/>
  <c r="K31" i="8"/>
  <c r="J45" i="8"/>
  <c r="G150" i="8"/>
  <c r="I148" i="8"/>
  <c r="G69" i="8"/>
  <c r="J67" i="8"/>
  <c r="I146" i="8" l="1"/>
  <c r="G146" i="8" s="1"/>
  <c r="G148" i="8"/>
  <c r="J84" i="8"/>
  <c r="G84" i="8" s="1"/>
  <c r="G45" i="8"/>
  <c r="G31" i="8"/>
  <c r="K28" i="8"/>
  <c r="K45" i="8"/>
  <c r="K70" i="8"/>
  <c r="J52" i="8"/>
  <c r="G52" i="8" l="1"/>
  <c r="K52" i="8"/>
  <c r="G28" i="8"/>
  <c r="K67" i="8"/>
  <c r="G70" i="8"/>
  <c r="J91" i="8"/>
  <c r="K91" i="8" l="1"/>
  <c r="G91" i="8" s="1"/>
  <c r="G67" i="8"/>
  <c r="F155" i="7" l="1"/>
  <c r="I152" i="7"/>
  <c r="F152" i="7"/>
  <c r="J148" i="7"/>
  <c r="J146" i="7" s="1"/>
  <c r="G147" i="7"/>
  <c r="G145" i="7"/>
  <c r="G144" i="7"/>
  <c r="G143" i="7"/>
  <c r="K142" i="7"/>
  <c r="J142" i="7"/>
  <c r="I142" i="7"/>
  <c r="G142" i="7" s="1"/>
  <c r="H142" i="7"/>
  <c r="G141" i="7"/>
  <c r="G140" i="7"/>
  <c r="K139" i="7"/>
  <c r="J139" i="7"/>
  <c r="I139" i="7"/>
  <c r="I137" i="7" s="1"/>
  <c r="I136" i="7" s="1"/>
  <c r="H139" i="7"/>
  <c r="H137" i="7" s="1"/>
  <c r="G138" i="7"/>
  <c r="K137" i="7"/>
  <c r="J137" i="7"/>
  <c r="J136" i="7" s="1"/>
  <c r="K136" i="7"/>
  <c r="G135" i="7"/>
  <c r="G134" i="7"/>
  <c r="G133" i="7"/>
  <c r="K132" i="7"/>
  <c r="K130" i="7" s="1"/>
  <c r="J132" i="7"/>
  <c r="I132" i="7"/>
  <c r="H132" i="7"/>
  <c r="H130" i="7" s="1"/>
  <c r="G132" i="7"/>
  <c r="G131" i="7"/>
  <c r="J130" i="7"/>
  <c r="I130" i="7"/>
  <c r="H128" i="7"/>
  <c r="I127" i="7"/>
  <c r="G127" i="7"/>
  <c r="J126" i="7"/>
  <c r="I126" i="7"/>
  <c r="H126" i="7"/>
  <c r="H124" i="7" s="1"/>
  <c r="G125" i="7"/>
  <c r="J124" i="7"/>
  <c r="I124" i="7"/>
  <c r="G123" i="7"/>
  <c r="G122" i="7"/>
  <c r="G121" i="7"/>
  <c r="K120" i="7"/>
  <c r="J120" i="7"/>
  <c r="I120" i="7"/>
  <c r="G120" i="7" s="1"/>
  <c r="H120" i="7"/>
  <c r="G119" i="7"/>
  <c r="G118" i="7"/>
  <c r="G117" i="7"/>
  <c r="G116" i="7"/>
  <c r="G115" i="7"/>
  <c r="G114" i="7"/>
  <c r="K113" i="7"/>
  <c r="J113" i="7"/>
  <c r="I113" i="7"/>
  <c r="H113" i="7"/>
  <c r="G113" i="7" s="1"/>
  <c r="G112" i="7"/>
  <c r="G111" i="7"/>
  <c r="K110" i="7"/>
  <c r="J110" i="7"/>
  <c r="I110" i="7"/>
  <c r="H110" i="7"/>
  <c r="G110" i="7" s="1"/>
  <c r="G109" i="7"/>
  <c r="G108" i="7"/>
  <c r="K107" i="7"/>
  <c r="J107" i="7"/>
  <c r="J106" i="7" s="1"/>
  <c r="J104" i="7" s="1"/>
  <c r="J103" i="7" s="1"/>
  <c r="I107" i="7"/>
  <c r="H107" i="7"/>
  <c r="G107" i="7"/>
  <c r="K106" i="7"/>
  <c r="K104" i="7" s="1"/>
  <c r="K103" i="7" s="1"/>
  <c r="I106" i="7"/>
  <c r="H106" i="7"/>
  <c r="G105" i="7"/>
  <c r="I104" i="7"/>
  <c r="I103" i="7" s="1"/>
  <c r="G102" i="7"/>
  <c r="G101" i="7"/>
  <c r="G100" i="7"/>
  <c r="K99" i="7"/>
  <c r="K97" i="7" s="1"/>
  <c r="J99" i="7"/>
  <c r="J97" i="7" s="1"/>
  <c r="I99" i="7"/>
  <c r="H99" i="7"/>
  <c r="G98" i="7"/>
  <c r="I97" i="7"/>
  <c r="H97" i="7"/>
  <c r="G95" i="7"/>
  <c r="G94" i="7"/>
  <c r="G93" i="7"/>
  <c r="G88" i="7"/>
  <c r="K87" i="7"/>
  <c r="J87" i="7"/>
  <c r="I87" i="7"/>
  <c r="H87" i="7"/>
  <c r="G87" i="7" s="1"/>
  <c r="G86" i="7"/>
  <c r="G85" i="7"/>
  <c r="G83" i="7"/>
  <c r="I81" i="7"/>
  <c r="G81" i="7" s="1"/>
  <c r="K79" i="7"/>
  <c r="J79" i="7"/>
  <c r="I79" i="7"/>
  <c r="G79" i="7" s="1"/>
  <c r="H79" i="7"/>
  <c r="G78" i="7"/>
  <c r="G77" i="7"/>
  <c r="K76" i="7"/>
  <c r="J76" i="7"/>
  <c r="G75" i="7"/>
  <c r="G74" i="7"/>
  <c r="K73" i="7"/>
  <c r="J73" i="7"/>
  <c r="H73" i="7"/>
  <c r="G72" i="7"/>
  <c r="G71" i="7"/>
  <c r="I67" i="7"/>
  <c r="H67" i="7"/>
  <c r="J65" i="7"/>
  <c r="I65" i="7"/>
  <c r="H65" i="7"/>
  <c r="G65" i="7" s="1"/>
  <c r="K63" i="7"/>
  <c r="J63" i="7"/>
  <c r="I63" i="7"/>
  <c r="K60" i="7"/>
  <c r="J60" i="7"/>
  <c r="I60" i="7"/>
  <c r="G60" i="7" s="1"/>
  <c r="H60" i="7"/>
  <c r="J58" i="7"/>
  <c r="J56" i="7" s="1"/>
  <c r="J54" i="7" s="1"/>
  <c r="K56" i="7"/>
  <c r="I56" i="7"/>
  <c r="I54" i="7" s="1"/>
  <c r="H56" i="7"/>
  <c r="G55" i="7"/>
  <c r="K54" i="7"/>
  <c r="H51" i="7"/>
  <c r="K50" i="7"/>
  <c r="K89" i="7" s="1"/>
  <c r="J50" i="7"/>
  <c r="J51" i="7" s="1"/>
  <c r="I50" i="7"/>
  <c r="I51" i="7" s="1"/>
  <c r="G49" i="7"/>
  <c r="G48" i="7"/>
  <c r="G47" i="7"/>
  <c r="G46" i="7"/>
  <c r="H45" i="7"/>
  <c r="H84" i="7" s="1"/>
  <c r="G44" i="7"/>
  <c r="G42" i="7"/>
  <c r="K40" i="7"/>
  <c r="J40" i="7"/>
  <c r="J34" i="7" s="1"/>
  <c r="I40" i="7"/>
  <c r="H40" i="7"/>
  <c r="G40" i="7" s="1"/>
  <c r="G39" i="7"/>
  <c r="G38" i="7"/>
  <c r="I37" i="7"/>
  <c r="I34" i="7" s="1"/>
  <c r="J30" i="7" s="1"/>
  <c r="G36" i="7"/>
  <c r="G35" i="7"/>
  <c r="K34" i="7"/>
  <c r="K128" i="7" s="1"/>
  <c r="H34" i="7"/>
  <c r="G33" i="7"/>
  <c r="G32" i="7"/>
  <c r="J29" i="7"/>
  <c r="J68" i="7" s="1"/>
  <c r="I28" i="7"/>
  <c r="H28" i="7"/>
  <c r="G26" i="7"/>
  <c r="K24" i="7"/>
  <c r="J24" i="7"/>
  <c r="I24" i="7"/>
  <c r="H24" i="7"/>
  <c r="K21" i="7"/>
  <c r="J21" i="7"/>
  <c r="I21" i="7"/>
  <c r="H21" i="7"/>
  <c r="G21" i="7"/>
  <c r="G19" i="7"/>
  <c r="K17" i="7"/>
  <c r="J17" i="7"/>
  <c r="J15" i="7" s="1"/>
  <c r="I17" i="7"/>
  <c r="G17" i="7" s="1"/>
  <c r="H17" i="7"/>
  <c r="G16" i="7"/>
  <c r="K15" i="7"/>
  <c r="H15" i="7"/>
  <c r="H52" i="7" s="1"/>
  <c r="D9" i="7"/>
  <c r="J45" i="7" l="1"/>
  <c r="J84" i="7" s="1"/>
  <c r="G34" i="7"/>
  <c r="H148" i="7"/>
  <c r="K90" i="7"/>
  <c r="G97" i="7"/>
  <c r="G106" i="7"/>
  <c r="I148" i="7"/>
  <c r="I146" i="7" s="1"/>
  <c r="G149" i="7"/>
  <c r="G30" i="7"/>
  <c r="J69" i="7"/>
  <c r="G69" i="7" s="1"/>
  <c r="G137" i="7"/>
  <c r="H136" i="7"/>
  <c r="G136" i="7" s="1"/>
  <c r="G68" i="7"/>
  <c r="J67" i="7"/>
  <c r="K126" i="7"/>
  <c r="K148" i="7"/>
  <c r="K146" i="7" s="1"/>
  <c r="G51" i="7"/>
  <c r="G130" i="7"/>
  <c r="G37" i="7"/>
  <c r="G50" i="7"/>
  <c r="K51" i="7"/>
  <c r="G56" i="7"/>
  <c r="I89" i="7"/>
  <c r="H90" i="7"/>
  <c r="H104" i="7"/>
  <c r="G128" i="7"/>
  <c r="G139" i="7"/>
  <c r="G29" i="7"/>
  <c r="G58" i="7"/>
  <c r="H63" i="7"/>
  <c r="G63" i="7" s="1"/>
  <c r="J89" i="7"/>
  <c r="J90" i="7" s="1"/>
  <c r="G24" i="7"/>
  <c r="I76" i="7"/>
  <c r="G99" i="7"/>
  <c r="I15" i="7"/>
  <c r="J28" i="7"/>
  <c r="K31" i="7" s="1"/>
  <c r="K70" i="7" l="1"/>
  <c r="K45" i="7"/>
  <c r="G31" i="7"/>
  <c r="K28" i="7"/>
  <c r="K52" i="7" s="1"/>
  <c r="J91" i="7"/>
  <c r="G148" i="7"/>
  <c r="H146" i="7"/>
  <c r="G146" i="7" s="1"/>
  <c r="G89" i="7"/>
  <c r="G28" i="7"/>
  <c r="J52" i="7"/>
  <c r="I90" i="7"/>
  <c r="G90" i="7" s="1"/>
  <c r="G15" i="7"/>
  <c r="I45" i="7"/>
  <c r="G76" i="7"/>
  <c r="I73" i="7"/>
  <c r="H54" i="7"/>
  <c r="G104" i="7"/>
  <c r="H103" i="7"/>
  <c r="G103" i="7" s="1"/>
  <c r="K124" i="7"/>
  <c r="G124" i="7" s="1"/>
  <c r="G126" i="7"/>
  <c r="G150" i="7"/>
  <c r="G70" i="7" l="1"/>
  <c r="K67" i="7"/>
  <c r="G45" i="7"/>
  <c r="I84" i="7"/>
  <c r="G84" i="7" s="1"/>
  <c r="G54" i="7"/>
  <c r="H91" i="7"/>
  <c r="G73" i="7"/>
  <c r="I91" i="7"/>
  <c r="I52" i="7"/>
  <c r="G52" i="7" s="1"/>
  <c r="G91" i="7" l="1"/>
  <c r="K91" i="7"/>
  <c r="G67" i="7"/>
  <c r="F153" i="6" l="1"/>
  <c r="I150" i="6"/>
  <c r="F150" i="6"/>
  <c r="H146" i="6"/>
  <c r="G145" i="6"/>
  <c r="G143" i="6"/>
  <c r="G142" i="6"/>
  <c r="G141" i="6"/>
  <c r="K140" i="6"/>
  <c r="J140" i="6"/>
  <c r="I140" i="6"/>
  <c r="G140" i="6" s="1"/>
  <c r="H140" i="6"/>
  <c r="G139" i="6"/>
  <c r="G138" i="6"/>
  <c r="K137" i="6"/>
  <c r="J137" i="6"/>
  <c r="I137" i="6"/>
  <c r="I135" i="6" s="1"/>
  <c r="I134" i="6" s="1"/>
  <c r="H137" i="6"/>
  <c r="H135" i="6" s="1"/>
  <c r="G136" i="6"/>
  <c r="K135" i="6"/>
  <c r="J135" i="6"/>
  <c r="J134" i="6" s="1"/>
  <c r="K134" i="6"/>
  <c r="G133" i="6"/>
  <c r="G132" i="6"/>
  <c r="G131" i="6"/>
  <c r="K130" i="6"/>
  <c r="K128" i="6" s="1"/>
  <c r="J130" i="6"/>
  <c r="I130" i="6"/>
  <c r="H130" i="6"/>
  <c r="H128" i="6" s="1"/>
  <c r="G128" i="6" s="1"/>
  <c r="G130" i="6"/>
  <c r="G129" i="6"/>
  <c r="J128" i="6"/>
  <c r="I128" i="6"/>
  <c r="H126" i="6"/>
  <c r="I125" i="6"/>
  <c r="G123" i="6"/>
  <c r="G121" i="6"/>
  <c r="G120" i="6"/>
  <c r="G119" i="6"/>
  <c r="K118" i="6"/>
  <c r="J118" i="6"/>
  <c r="I118" i="6"/>
  <c r="H118" i="6"/>
  <c r="G118" i="6"/>
  <c r="G117" i="6"/>
  <c r="G116" i="6"/>
  <c r="G115" i="6"/>
  <c r="G114" i="6"/>
  <c r="G113" i="6"/>
  <c r="G112" i="6"/>
  <c r="K111" i="6"/>
  <c r="J111" i="6"/>
  <c r="I111" i="6"/>
  <c r="H111" i="6"/>
  <c r="G111" i="6" s="1"/>
  <c r="G110" i="6"/>
  <c r="G109" i="6"/>
  <c r="K108" i="6"/>
  <c r="J108" i="6"/>
  <c r="I108" i="6"/>
  <c r="G108" i="6" s="1"/>
  <c r="H108" i="6"/>
  <c r="G107" i="6"/>
  <c r="G106" i="6"/>
  <c r="K105" i="6"/>
  <c r="J105" i="6"/>
  <c r="J104" i="6" s="1"/>
  <c r="J102" i="6" s="1"/>
  <c r="J101" i="6" s="1"/>
  <c r="I105" i="6"/>
  <c r="H105" i="6"/>
  <c r="G105" i="6" s="1"/>
  <c r="K104" i="6"/>
  <c r="I104" i="6"/>
  <c r="I102" i="6" s="1"/>
  <c r="I101" i="6" s="1"/>
  <c r="G103" i="6"/>
  <c r="K102" i="6"/>
  <c r="K101" i="6" s="1"/>
  <c r="G100" i="6"/>
  <c r="G99" i="6"/>
  <c r="G98" i="6"/>
  <c r="K97" i="6"/>
  <c r="J97" i="6"/>
  <c r="I97" i="6"/>
  <c r="I95" i="6" s="1"/>
  <c r="H97" i="6"/>
  <c r="H95" i="6" s="1"/>
  <c r="G95" i="6" s="1"/>
  <c r="G96" i="6"/>
  <c r="K95" i="6"/>
  <c r="J95" i="6"/>
  <c r="G93" i="6"/>
  <c r="G92" i="6"/>
  <c r="G91" i="6"/>
  <c r="H88" i="6"/>
  <c r="J87" i="6"/>
  <c r="G86" i="6"/>
  <c r="K85" i="6"/>
  <c r="J85" i="6"/>
  <c r="J88" i="6" s="1"/>
  <c r="I85" i="6"/>
  <c r="G85" i="6" s="1"/>
  <c r="H85" i="6"/>
  <c r="G84" i="6"/>
  <c r="G83" i="6"/>
  <c r="G81" i="6"/>
  <c r="I79" i="6"/>
  <c r="G79" i="6" s="1"/>
  <c r="K77" i="6"/>
  <c r="J77" i="6"/>
  <c r="I77" i="6"/>
  <c r="H77" i="6"/>
  <c r="G77" i="6"/>
  <c r="G76" i="6"/>
  <c r="G75" i="6"/>
  <c r="K74" i="6"/>
  <c r="K71" i="6" s="1"/>
  <c r="J74" i="6"/>
  <c r="J71" i="6" s="1"/>
  <c r="G73" i="6"/>
  <c r="G72" i="6"/>
  <c r="H71" i="6"/>
  <c r="G70" i="6"/>
  <c r="G69" i="6"/>
  <c r="J66" i="6"/>
  <c r="I65" i="6"/>
  <c r="H65" i="6"/>
  <c r="J63" i="6"/>
  <c r="I63" i="6"/>
  <c r="I61" i="6" s="1"/>
  <c r="H63" i="6"/>
  <c r="K61" i="6"/>
  <c r="J61" i="6"/>
  <c r="H61" i="6"/>
  <c r="G61" i="6" s="1"/>
  <c r="K58" i="6"/>
  <c r="K53" i="6" s="1"/>
  <c r="J58" i="6"/>
  <c r="I58" i="6"/>
  <c r="H58" i="6"/>
  <c r="G58" i="6"/>
  <c r="K55" i="6"/>
  <c r="J55" i="6"/>
  <c r="I55" i="6"/>
  <c r="H55" i="6"/>
  <c r="H53" i="6" s="1"/>
  <c r="G54" i="6"/>
  <c r="J53" i="6"/>
  <c r="J50" i="6"/>
  <c r="H50" i="6"/>
  <c r="K49" i="6"/>
  <c r="K87" i="6" s="1"/>
  <c r="K88" i="6" s="1"/>
  <c r="J49" i="6"/>
  <c r="I49" i="6"/>
  <c r="I87" i="6" s="1"/>
  <c r="G87" i="6" s="1"/>
  <c r="G48" i="6"/>
  <c r="G47" i="6"/>
  <c r="G46" i="6"/>
  <c r="G45" i="6"/>
  <c r="H44" i="6"/>
  <c r="H82" i="6" s="1"/>
  <c r="G43" i="6"/>
  <c r="G41" i="6"/>
  <c r="K39" i="6"/>
  <c r="J39" i="6"/>
  <c r="J33" i="6" s="1"/>
  <c r="J126" i="6" s="1"/>
  <c r="I39" i="6"/>
  <c r="H39" i="6"/>
  <c r="H33" i="6" s="1"/>
  <c r="G38" i="6"/>
  <c r="G37" i="6"/>
  <c r="I36" i="6"/>
  <c r="I74" i="6" s="1"/>
  <c r="G35" i="6"/>
  <c r="G34" i="6"/>
  <c r="K33" i="6"/>
  <c r="K126" i="6" s="1"/>
  <c r="G32" i="6"/>
  <c r="G31" i="6"/>
  <c r="J28" i="6"/>
  <c r="G28" i="6"/>
  <c r="I27" i="6"/>
  <c r="H27" i="6"/>
  <c r="G25" i="6"/>
  <c r="K23" i="6"/>
  <c r="J23" i="6"/>
  <c r="I23" i="6"/>
  <c r="H23" i="6"/>
  <c r="G23" i="6" s="1"/>
  <c r="K20" i="6"/>
  <c r="K15" i="6" s="1"/>
  <c r="J20" i="6"/>
  <c r="I20" i="6"/>
  <c r="I15" i="6" s="1"/>
  <c r="H20" i="6"/>
  <c r="G20" i="6"/>
  <c r="K17" i="6"/>
  <c r="J17" i="6"/>
  <c r="I17" i="6"/>
  <c r="H17" i="6"/>
  <c r="G17" i="6" s="1"/>
  <c r="G16" i="6"/>
  <c r="J15" i="6"/>
  <c r="D9" i="6"/>
  <c r="I44" i="6" l="1"/>
  <c r="I53" i="6"/>
  <c r="H144" i="6"/>
  <c r="I71" i="6"/>
  <c r="G74" i="6"/>
  <c r="G147" i="6"/>
  <c r="K124" i="6"/>
  <c r="K122" i="6" s="1"/>
  <c r="K146" i="6"/>
  <c r="K144" i="6" s="1"/>
  <c r="J146" i="6"/>
  <c r="J144" i="6" s="1"/>
  <c r="J124" i="6"/>
  <c r="J122" i="6" s="1"/>
  <c r="H89" i="6"/>
  <c r="G53" i="6"/>
  <c r="G71" i="6"/>
  <c r="G135" i="6"/>
  <c r="H134" i="6"/>
  <c r="G134" i="6" s="1"/>
  <c r="H15" i="6"/>
  <c r="I33" i="6"/>
  <c r="G63" i="6"/>
  <c r="I88" i="6"/>
  <c r="G88" i="6" s="1"/>
  <c r="G36" i="6"/>
  <c r="G39" i="6"/>
  <c r="G49" i="6"/>
  <c r="K50" i="6"/>
  <c r="G55" i="6"/>
  <c r="G66" i="6"/>
  <c r="G97" i="6"/>
  <c r="H104" i="6"/>
  <c r="H124" i="6"/>
  <c r="G125" i="6"/>
  <c r="G137" i="6"/>
  <c r="I50" i="6"/>
  <c r="G50" i="6" s="1"/>
  <c r="I126" i="6" l="1"/>
  <c r="J29" i="6"/>
  <c r="I89" i="6"/>
  <c r="I51" i="6"/>
  <c r="H122" i="6"/>
  <c r="H51" i="6"/>
  <c r="G15" i="6"/>
  <c r="I82" i="6"/>
  <c r="G104" i="6"/>
  <c r="H102" i="6"/>
  <c r="G33" i="6"/>
  <c r="J27" i="6" l="1"/>
  <c r="J67" i="6"/>
  <c r="G29" i="6"/>
  <c r="G102" i="6"/>
  <c r="H101" i="6"/>
  <c r="G101" i="6" s="1"/>
  <c r="I124" i="6"/>
  <c r="G126" i="6"/>
  <c r="I146" i="6" l="1"/>
  <c r="G148" i="6"/>
  <c r="G67" i="6"/>
  <c r="J65" i="6"/>
  <c r="I122" i="6"/>
  <c r="G122" i="6" s="1"/>
  <c r="G124" i="6"/>
  <c r="J51" i="6"/>
  <c r="J44" i="6"/>
  <c r="K30" i="6"/>
  <c r="K44" i="6" l="1"/>
  <c r="K68" i="6"/>
  <c r="G30" i="6"/>
  <c r="K27" i="6"/>
  <c r="I144" i="6"/>
  <c r="G144" i="6" s="1"/>
  <c r="G146" i="6"/>
  <c r="J82" i="6"/>
  <c r="G82" i="6" s="1"/>
  <c r="G44" i="6"/>
  <c r="J89" i="6"/>
  <c r="K51" i="6" l="1"/>
  <c r="G51" i="6" s="1"/>
  <c r="G27" i="6"/>
  <c r="G68" i="6"/>
  <c r="K65" i="6"/>
  <c r="K89" i="6" l="1"/>
  <c r="G89" i="6" s="1"/>
  <c r="G65" i="6"/>
  <c r="F153" i="5" l="1"/>
  <c r="I150" i="5"/>
  <c r="F150" i="5"/>
  <c r="G145" i="5"/>
  <c r="G143" i="5"/>
  <c r="G142" i="5"/>
  <c r="G141" i="5"/>
  <c r="K140" i="5"/>
  <c r="K134" i="5" s="1"/>
  <c r="J140" i="5"/>
  <c r="I140" i="5"/>
  <c r="H140" i="5"/>
  <c r="G139" i="5"/>
  <c r="G138" i="5"/>
  <c r="K137" i="5"/>
  <c r="J137" i="5"/>
  <c r="J135" i="5" s="1"/>
  <c r="J134" i="5" s="1"/>
  <c r="I137" i="5"/>
  <c r="I135" i="5" s="1"/>
  <c r="I134" i="5" s="1"/>
  <c r="H137" i="5"/>
  <c r="G137" i="5" s="1"/>
  <c r="G136" i="5"/>
  <c r="K135" i="5"/>
  <c r="H135" i="5"/>
  <c r="G133" i="5"/>
  <c r="G132" i="5"/>
  <c r="G131" i="5"/>
  <c r="K130" i="5"/>
  <c r="J130" i="5"/>
  <c r="I130" i="5"/>
  <c r="G130" i="5" s="1"/>
  <c r="H130" i="5"/>
  <c r="H128" i="5" s="1"/>
  <c r="G129" i="5"/>
  <c r="K128" i="5"/>
  <c r="J128" i="5"/>
  <c r="H126" i="5"/>
  <c r="I125" i="5"/>
  <c r="G123" i="5"/>
  <c r="G121" i="5"/>
  <c r="G120" i="5"/>
  <c r="G119" i="5"/>
  <c r="K118" i="5"/>
  <c r="J118" i="5"/>
  <c r="I118" i="5"/>
  <c r="G118" i="5" s="1"/>
  <c r="H118" i="5"/>
  <c r="G117" i="5"/>
  <c r="G116" i="5"/>
  <c r="G115" i="5"/>
  <c r="G114" i="5"/>
  <c r="G113" i="5"/>
  <c r="G112" i="5"/>
  <c r="K111" i="5"/>
  <c r="J111" i="5"/>
  <c r="I111" i="5"/>
  <c r="H111" i="5"/>
  <c r="G111" i="5" s="1"/>
  <c r="G110" i="5"/>
  <c r="G109" i="5"/>
  <c r="K108" i="5"/>
  <c r="J108" i="5"/>
  <c r="I108" i="5"/>
  <c r="H108" i="5"/>
  <c r="G108" i="5"/>
  <c r="G107" i="5"/>
  <c r="G106" i="5"/>
  <c r="K105" i="5"/>
  <c r="J105" i="5"/>
  <c r="J104" i="5" s="1"/>
  <c r="J102" i="5" s="1"/>
  <c r="J101" i="5" s="1"/>
  <c r="I105" i="5"/>
  <c r="H105" i="5"/>
  <c r="G105" i="5" s="1"/>
  <c r="K104" i="5"/>
  <c r="K102" i="5" s="1"/>
  <c r="K101" i="5" s="1"/>
  <c r="I104" i="5"/>
  <c r="G103" i="5"/>
  <c r="I102" i="5"/>
  <c r="I101" i="5" s="1"/>
  <c r="G100" i="5"/>
  <c r="G99" i="5"/>
  <c r="G98" i="5"/>
  <c r="K97" i="5"/>
  <c r="J97" i="5"/>
  <c r="J95" i="5" s="1"/>
  <c r="I97" i="5"/>
  <c r="I95" i="5" s="1"/>
  <c r="H97" i="5"/>
  <c r="G97" i="5" s="1"/>
  <c r="G96" i="5"/>
  <c r="K95" i="5"/>
  <c r="H95" i="5"/>
  <c r="G95" i="5" s="1"/>
  <c r="G93" i="5"/>
  <c r="G92" i="5"/>
  <c r="G91" i="5"/>
  <c r="J87" i="5"/>
  <c r="G86" i="5"/>
  <c r="K85" i="5"/>
  <c r="K88" i="5" s="1"/>
  <c r="J85" i="5"/>
  <c r="J88" i="5" s="1"/>
  <c r="I85" i="5"/>
  <c r="H85" i="5"/>
  <c r="H88" i="5" s="1"/>
  <c r="G85" i="5"/>
  <c r="G84" i="5"/>
  <c r="G83" i="5"/>
  <c r="G81" i="5"/>
  <c r="I79" i="5"/>
  <c r="G79" i="5" s="1"/>
  <c r="K77" i="5"/>
  <c r="K71" i="5" s="1"/>
  <c r="J77" i="5"/>
  <c r="I77" i="5"/>
  <c r="G77" i="5" s="1"/>
  <c r="H77" i="5"/>
  <c r="G76" i="5"/>
  <c r="G75" i="5"/>
  <c r="K74" i="5"/>
  <c r="J74" i="5"/>
  <c r="G73" i="5"/>
  <c r="G72" i="5"/>
  <c r="J71" i="5"/>
  <c r="H71" i="5"/>
  <c r="G70" i="5"/>
  <c r="G69" i="5"/>
  <c r="J66" i="5"/>
  <c r="I65" i="5"/>
  <c r="H65" i="5"/>
  <c r="J63" i="5"/>
  <c r="I63" i="5"/>
  <c r="I61" i="5" s="1"/>
  <c r="H63" i="5"/>
  <c r="G63" i="5"/>
  <c r="K61" i="5"/>
  <c r="J61" i="5"/>
  <c r="H61" i="5"/>
  <c r="G61" i="5" s="1"/>
  <c r="K58" i="5"/>
  <c r="J58" i="5"/>
  <c r="I58" i="5"/>
  <c r="G58" i="5" s="1"/>
  <c r="H58" i="5"/>
  <c r="K55" i="5"/>
  <c r="K53" i="5" s="1"/>
  <c r="J55" i="5"/>
  <c r="J53" i="5" s="1"/>
  <c r="I55" i="5"/>
  <c r="H55" i="5"/>
  <c r="G55" i="5" s="1"/>
  <c r="G54" i="5"/>
  <c r="H53" i="5"/>
  <c r="H89" i="5" s="1"/>
  <c r="J50" i="5"/>
  <c r="H50" i="5"/>
  <c r="K49" i="5"/>
  <c r="K87" i="5" s="1"/>
  <c r="J49" i="5"/>
  <c r="I49" i="5"/>
  <c r="I87" i="5" s="1"/>
  <c r="G48" i="5"/>
  <c r="G47" i="5"/>
  <c r="G46" i="5"/>
  <c r="G45" i="5"/>
  <c r="H44" i="5"/>
  <c r="H82" i="5" s="1"/>
  <c r="G43" i="5"/>
  <c r="G41" i="5"/>
  <c r="K39" i="5"/>
  <c r="J39" i="5"/>
  <c r="J33" i="5" s="1"/>
  <c r="J126" i="5" s="1"/>
  <c r="I39" i="5"/>
  <c r="H39" i="5"/>
  <c r="H33" i="5" s="1"/>
  <c r="G33" i="5" s="1"/>
  <c r="G38" i="5"/>
  <c r="G37" i="5"/>
  <c r="I36" i="5"/>
  <c r="I74" i="5" s="1"/>
  <c r="G35" i="5"/>
  <c r="G34" i="5"/>
  <c r="K33" i="5"/>
  <c r="K126" i="5" s="1"/>
  <c r="I33" i="5"/>
  <c r="I126" i="5" s="1"/>
  <c r="G32" i="5"/>
  <c r="G31" i="5"/>
  <c r="J28" i="5"/>
  <c r="G28" i="5"/>
  <c r="I27" i="5"/>
  <c r="H27" i="5"/>
  <c r="G25" i="5"/>
  <c r="K23" i="5"/>
  <c r="J23" i="5"/>
  <c r="I23" i="5"/>
  <c r="H23" i="5"/>
  <c r="G23" i="5" s="1"/>
  <c r="K20" i="5"/>
  <c r="K15" i="5" s="1"/>
  <c r="J20" i="5"/>
  <c r="I20" i="5"/>
  <c r="G20" i="5" s="1"/>
  <c r="H20" i="5"/>
  <c r="K17" i="5"/>
  <c r="J17" i="5"/>
  <c r="J15" i="5" s="1"/>
  <c r="I17" i="5"/>
  <c r="H17" i="5"/>
  <c r="G17" i="5" s="1"/>
  <c r="G16" i="5"/>
  <c r="H15" i="5"/>
  <c r="H51" i="5" s="1"/>
  <c r="D9" i="5"/>
  <c r="I146" i="5" l="1"/>
  <c r="I144" i="5" s="1"/>
  <c r="I124" i="5"/>
  <c r="I122" i="5" s="1"/>
  <c r="I71" i="5"/>
  <c r="G71" i="5" s="1"/>
  <c r="G74" i="5"/>
  <c r="G147" i="5"/>
  <c r="G135" i="5"/>
  <c r="K146" i="5"/>
  <c r="K144" i="5" s="1"/>
  <c r="K124" i="5"/>
  <c r="K122" i="5" s="1"/>
  <c r="J146" i="5"/>
  <c r="J144" i="5" s="1"/>
  <c r="J124" i="5"/>
  <c r="J122" i="5" s="1"/>
  <c r="G50" i="5"/>
  <c r="G126" i="5"/>
  <c r="G87" i="5"/>
  <c r="I88" i="5"/>
  <c r="G88" i="5"/>
  <c r="G140" i="5"/>
  <c r="I15" i="5"/>
  <c r="G15" i="5" s="1"/>
  <c r="J29" i="5"/>
  <c r="G36" i="5"/>
  <c r="G39" i="5"/>
  <c r="G49" i="5"/>
  <c r="K50" i="5"/>
  <c r="I53" i="5"/>
  <c r="G66" i="5"/>
  <c r="H104" i="5"/>
  <c r="H124" i="5"/>
  <c r="G125" i="5"/>
  <c r="I128" i="5"/>
  <c r="G128" i="5" s="1"/>
  <c r="I50" i="5"/>
  <c r="H134" i="5"/>
  <c r="G134" i="5" s="1"/>
  <c r="G124" i="5" l="1"/>
  <c r="H122" i="5"/>
  <c r="G122" i="5" s="1"/>
  <c r="G29" i="5"/>
  <c r="J67" i="5"/>
  <c r="J27" i="5"/>
  <c r="G53" i="5"/>
  <c r="H146" i="5"/>
  <c r="G148" i="5"/>
  <c r="I51" i="5"/>
  <c r="I44" i="5"/>
  <c r="G104" i="5"/>
  <c r="H102" i="5"/>
  <c r="K30" i="5" l="1"/>
  <c r="J44" i="5"/>
  <c r="J82" i="5" s="1"/>
  <c r="G102" i="5"/>
  <c r="H101" i="5"/>
  <c r="G101" i="5" s="1"/>
  <c r="G146" i="5"/>
  <c r="H144" i="5"/>
  <c r="G144" i="5" s="1"/>
  <c r="G67" i="5"/>
  <c r="J65" i="5"/>
  <c r="I82" i="5"/>
  <c r="G82" i="5" l="1"/>
  <c r="I89" i="5"/>
  <c r="K68" i="5"/>
  <c r="G30" i="5"/>
  <c r="K27" i="5"/>
  <c r="K44" i="5"/>
  <c r="G44" i="5" s="1"/>
  <c r="J89" i="5"/>
  <c r="J51" i="5"/>
  <c r="G68" i="5" l="1"/>
  <c r="K65" i="5"/>
  <c r="K51" i="5"/>
  <c r="G51" i="5" s="1"/>
  <c r="G27" i="5"/>
  <c r="K89" i="5" l="1"/>
  <c r="G89" i="5" s="1"/>
  <c r="G65" i="5"/>
  <c r="E139" i="2" l="1"/>
  <c r="E137" i="2"/>
  <c r="E136" i="2"/>
  <c r="E135" i="2"/>
  <c r="I134" i="2"/>
  <c r="H134" i="2"/>
  <c r="G134" i="2"/>
  <c r="F134" i="2"/>
  <c r="E133" i="2"/>
  <c r="E132" i="2"/>
  <c r="I131" i="2"/>
  <c r="H131" i="2"/>
  <c r="H129" i="2" s="1"/>
  <c r="H128" i="2" s="1"/>
  <c r="G131" i="2"/>
  <c r="G129" i="2" s="1"/>
  <c r="G128" i="2" s="1"/>
  <c r="F131" i="2"/>
  <c r="E131" i="2" s="1"/>
  <c r="E130" i="2"/>
  <c r="I129" i="2"/>
  <c r="I128" i="2" s="1"/>
  <c r="E127" i="2"/>
  <c r="E126" i="2"/>
  <c r="E125" i="2"/>
  <c r="I124" i="2"/>
  <c r="I122" i="2" s="1"/>
  <c r="H124" i="2"/>
  <c r="G124" i="2"/>
  <c r="F124" i="2"/>
  <c r="F122" i="2" s="1"/>
  <c r="E122" i="2" s="1"/>
  <c r="E123" i="2"/>
  <c r="H122" i="2"/>
  <c r="G122" i="2"/>
  <c r="F120" i="2"/>
  <c r="F118" i="2" s="1"/>
  <c r="G119" i="2"/>
  <c r="E119" i="2" s="1"/>
  <c r="E117" i="2"/>
  <c r="E115" i="2"/>
  <c r="E114" i="2"/>
  <c r="E113" i="2"/>
  <c r="I112" i="2"/>
  <c r="H112" i="2"/>
  <c r="G112" i="2"/>
  <c r="F112" i="2"/>
  <c r="E112" i="2" s="1"/>
  <c r="E111" i="2"/>
  <c r="E110" i="2"/>
  <c r="E109" i="2"/>
  <c r="E108" i="2"/>
  <c r="E107" i="2"/>
  <c r="E106" i="2"/>
  <c r="I105" i="2"/>
  <c r="H105" i="2"/>
  <c r="G105" i="2"/>
  <c r="F105" i="2"/>
  <c r="E105" i="2" s="1"/>
  <c r="E104" i="2"/>
  <c r="E103" i="2"/>
  <c r="I102" i="2"/>
  <c r="H102" i="2"/>
  <c r="G102" i="2"/>
  <c r="E102" i="2" s="1"/>
  <c r="F102" i="2"/>
  <c r="E101" i="2"/>
  <c r="E100" i="2"/>
  <c r="I99" i="2"/>
  <c r="H99" i="2"/>
  <c r="G99" i="2"/>
  <c r="G98" i="2" s="1"/>
  <c r="G96" i="2" s="1"/>
  <c r="G95" i="2" s="1"/>
  <c r="F99" i="2"/>
  <c r="H98" i="2"/>
  <c r="H96" i="2" s="1"/>
  <c r="H95" i="2" s="1"/>
  <c r="E97" i="2"/>
  <c r="E94" i="2"/>
  <c r="E93" i="2"/>
  <c r="E92" i="2"/>
  <c r="I91" i="2"/>
  <c r="H91" i="2"/>
  <c r="H89" i="2" s="1"/>
  <c r="G91" i="2"/>
  <c r="G89" i="2" s="1"/>
  <c r="F91" i="2"/>
  <c r="E91" i="2" s="1"/>
  <c r="E90" i="2"/>
  <c r="I89" i="2"/>
  <c r="E87" i="2"/>
  <c r="E86" i="2"/>
  <c r="E85" i="2"/>
  <c r="I82" i="2"/>
  <c r="I81" i="2"/>
  <c r="H81" i="2"/>
  <c r="G81" i="2"/>
  <c r="E80" i="2"/>
  <c r="I79" i="2"/>
  <c r="H79" i="2"/>
  <c r="H82" i="2" s="1"/>
  <c r="G79" i="2"/>
  <c r="G82" i="2" s="1"/>
  <c r="F79" i="2"/>
  <c r="F82" i="2" s="1"/>
  <c r="E78" i="2"/>
  <c r="E77" i="2"/>
  <c r="E75" i="2"/>
  <c r="G73" i="2"/>
  <c r="E73" i="2"/>
  <c r="I71" i="2"/>
  <c r="H71" i="2"/>
  <c r="G71" i="2"/>
  <c r="F71" i="2"/>
  <c r="E71" i="2" s="1"/>
  <c r="E70" i="2"/>
  <c r="E69" i="2"/>
  <c r="I68" i="2"/>
  <c r="H68" i="2"/>
  <c r="E68" i="2" s="1"/>
  <c r="G68" i="2"/>
  <c r="E67" i="2"/>
  <c r="E66" i="2"/>
  <c r="G65" i="2"/>
  <c r="E64" i="2"/>
  <c r="E63" i="2"/>
  <c r="G59" i="2"/>
  <c r="F59" i="2"/>
  <c r="H57" i="2"/>
  <c r="H55" i="2" s="1"/>
  <c r="G57" i="2"/>
  <c r="G55" i="2" s="1"/>
  <c r="F57" i="2"/>
  <c r="I55" i="2"/>
  <c r="F55" i="2"/>
  <c r="I52" i="2"/>
  <c r="H52" i="2"/>
  <c r="G52" i="2"/>
  <c r="F52" i="2"/>
  <c r="I49" i="2"/>
  <c r="I47" i="2" s="1"/>
  <c r="H49" i="2"/>
  <c r="G49" i="2"/>
  <c r="G47" i="2" s="1"/>
  <c r="F49" i="2"/>
  <c r="E48" i="2"/>
  <c r="I44" i="2"/>
  <c r="H44" i="2"/>
  <c r="G44" i="2"/>
  <c r="F44" i="2"/>
  <c r="E43" i="2"/>
  <c r="E42" i="2"/>
  <c r="E41" i="2"/>
  <c r="E40" i="2"/>
  <c r="E39" i="2"/>
  <c r="F38" i="2"/>
  <c r="F76" i="2" s="1"/>
  <c r="E37" i="2"/>
  <c r="E35" i="2"/>
  <c r="I33" i="2"/>
  <c r="I27" i="2" s="1"/>
  <c r="I120" i="2" s="1"/>
  <c r="I140" i="2" s="1"/>
  <c r="I138" i="2" s="1"/>
  <c r="H33" i="2"/>
  <c r="H27" i="2" s="1"/>
  <c r="H120" i="2" s="1"/>
  <c r="G33" i="2"/>
  <c r="E33" i="2" s="1"/>
  <c r="F33" i="2"/>
  <c r="E32" i="2"/>
  <c r="E31" i="2"/>
  <c r="E30" i="2"/>
  <c r="E29" i="2"/>
  <c r="E28" i="2"/>
  <c r="F27" i="2"/>
  <c r="E26" i="2"/>
  <c r="E25" i="2"/>
  <c r="H22" i="2"/>
  <c r="G21" i="2"/>
  <c r="F21" i="2"/>
  <c r="E19" i="2"/>
  <c r="I17" i="2"/>
  <c r="H17" i="2"/>
  <c r="H9" i="2" s="1"/>
  <c r="G17" i="2"/>
  <c r="F17" i="2"/>
  <c r="E17" i="2" s="1"/>
  <c r="I14" i="2"/>
  <c r="H14" i="2"/>
  <c r="G14" i="2"/>
  <c r="F14" i="2"/>
  <c r="I11" i="2"/>
  <c r="I9" i="2" s="1"/>
  <c r="H11" i="2"/>
  <c r="G11" i="2"/>
  <c r="G9" i="2" s="1"/>
  <c r="F11" i="2"/>
  <c r="E10" i="2"/>
  <c r="B3" i="2"/>
  <c r="E11" i="2" l="1"/>
  <c r="E14" i="2"/>
  <c r="E49" i="2"/>
  <c r="E52" i="2"/>
  <c r="H47" i="2"/>
  <c r="E81" i="2"/>
  <c r="E99" i="2"/>
  <c r="I98" i="2"/>
  <c r="I96" i="2" s="1"/>
  <c r="I95" i="2" s="1"/>
  <c r="E44" i="2"/>
  <c r="I65" i="2"/>
  <c r="E134" i="2"/>
  <c r="F140" i="2"/>
  <c r="F138" i="2" s="1"/>
  <c r="H118" i="2"/>
  <c r="H116" i="2" s="1"/>
  <c r="H140" i="2"/>
  <c r="H138" i="2" s="1"/>
  <c r="F116" i="2"/>
  <c r="E55" i="2"/>
  <c r="E82" i="2"/>
  <c r="E22" i="2"/>
  <c r="H60" i="2"/>
  <c r="F65" i="2"/>
  <c r="E124" i="2"/>
  <c r="F9" i="2"/>
  <c r="G27" i="2"/>
  <c r="F47" i="2"/>
  <c r="E57" i="2"/>
  <c r="H65" i="2"/>
  <c r="E79" i="2"/>
  <c r="F89" i="2"/>
  <c r="E89" i="2" s="1"/>
  <c r="I118" i="2"/>
  <c r="I116" i="2" s="1"/>
  <c r="F129" i="2"/>
  <c r="F98" i="2"/>
  <c r="E65" i="2" l="1"/>
  <c r="E141" i="2"/>
  <c r="G120" i="2"/>
  <c r="H23" i="2"/>
  <c r="F96" i="2"/>
  <c r="E98" i="2"/>
  <c r="E47" i="2"/>
  <c r="F83" i="2"/>
  <c r="E129" i="2"/>
  <c r="F128" i="2"/>
  <c r="E128" i="2" s="1"/>
  <c r="E9" i="2"/>
  <c r="F45" i="2"/>
  <c r="E60" i="2"/>
  <c r="G38" i="2"/>
  <c r="G45" i="2" s="1"/>
  <c r="E27" i="2"/>
  <c r="E96" i="2" l="1"/>
  <c r="F95" i="2"/>
  <c r="E95" i="2" s="1"/>
  <c r="E120" i="2"/>
  <c r="G118" i="2"/>
  <c r="G76" i="2"/>
  <c r="H61" i="2"/>
  <c r="E23" i="2"/>
  <c r="H21" i="2"/>
  <c r="G83" i="2" l="1"/>
  <c r="G116" i="2"/>
  <c r="E116" i="2" s="1"/>
  <c r="E118" i="2"/>
  <c r="I24" i="2"/>
  <c r="H38" i="2"/>
  <c r="E142" i="2"/>
  <c r="G140" i="2"/>
  <c r="E61" i="2"/>
  <c r="H59" i="2"/>
  <c r="I21" i="2" l="1"/>
  <c r="I38" i="2"/>
  <c r="E38" i="2" s="1"/>
  <c r="I62" i="2"/>
  <c r="E24" i="2"/>
  <c r="G138" i="2"/>
  <c r="E138" i="2" s="1"/>
  <c r="E140" i="2"/>
  <c r="H76" i="2"/>
  <c r="E76" i="2" s="1"/>
  <c r="H45" i="2"/>
  <c r="H83" i="2" l="1"/>
  <c r="I45" i="2"/>
  <c r="E21" i="2"/>
  <c r="E62" i="2"/>
  <c r="I59" i="2"/>
  <c r="E45" i="2"/>
  <c r="I83" i="2" l="1"/>
  <c r="E83" i="2" s="1"/>
  <c r="E59" i="2"/>
  <c r="E139" i="3" l="1"/>
  <c r="E137" i="3"/>
  <c r="E136" i="3"/>
  <c r="E135" i="3"/>
  <c r="I134" i="3"/>
  <c r="H134" i="3"/>
  <c r="G134" i="3"/>
  <c r="F134" i="3"/>
  <c r="E134" i="3" s="1"/>
  <c r="E133" i="3"/>
  <c r="E132" i="3"/>
  <c r="I131" i="3"/>
  <c r="I129" i="3" s="1"/>
  <c r="I128" i="3" s="1"/>
  <c r="H131" i="3"/>
  <c r="H129" i="3" s="1"/>
  <c r="H128" i="3" s="1"/>
  <c r="G131" i="3"/>
  <c r="F131" i="3"/>
  <c r="E131" i="3" s="1"/>
  <c r="E130" i="3"/>
  <c r="G129" i="3"/>
  <c r="G128" i="3" s="1"/>
  <c r="F129" i="3"/>
  <c r="E127" i="3"/>
  <c r="E126" i="3"/>
  <c r="E125" i="3"/>
  <c r="I124" i="3"/>
  <c r="I122" i="3" s="1"/>
  <c r="H124" i="3"/>
  <c r="H122" i="3" s="1"/>
  <c r="G124" i="3"/>
  <c r="G122" i="3" s="1"/>
  <c r="F124" i="3"/>
  <c r="E123" i="3"/>
  <c r="F122" i="3"/>
  <c r="F120" i="3"/>
  <c r="G119" i="3"/>
  <c r="E119" i="3" s="1"/>
  <c r="F118" i="3"/>
  <c r="F116" i="3" s="1"/>
  <c r="E117" i="3"/>
  <c r="E115" i="3"/>
  <c r="E114" i="3"/>
  <c r="E113" i="3"/>
  <c r="I112" i="3"/>
  <c r="H112" i="3"/>
  <c r="G112" i="3"/>
  <c r="F112" i="3"/>
  <c r="E112" i="3" s="1"/>
  <c r="E111" i="3"/>
  <c r="E110" i="3"/>
  <c r="E109" i="3"/>
  <c r="E108" i="3"/>
  <c r="E107" i="3"/>
  <c r="E106" i="3"/>
  <c r="I105" i="3"/>
  <c r="H105" i="3"/>
  <c r="G105" i="3"/>
  <c r="F105" i="3"/>
  <c r="E104" i="3"/>
  <c r="E103" i="3"/>
  <c r="I102" i="3"/>
  <c r="H102" i="3"/>
  <c r="G102" i="3"/>
  <c r="F102" i="3"/>
  <c r="E102" i="3" s="1"/>
  <c r="E101" i="3"/>
  <c r="E100" i="3"/>
  <c r="I99" i="3"/>
  <c r="I98" i="3" s="1"/>
  <c r="I96" i="3" s="1"/>
  <c r="I95" i="3" s="1"/>
  <c r="H99" i="3"/>
  <c r="H98" i="3" s="1"/>
  <c r="H96" i="3" s="1"/>
  <c r="H95" i="3" s="1"/>
  <c r="G99" i="3"/>
  <c r="G98" i="3" s="1"/>
  <c r="G96" i="3" s="1"/>
  <c r="G95" i="3" s="1"/>
  <c r="F99" i="3"/>
  <c r="E99" i="3" s="1"/>
  <c r="F98" i="3"/>
  <c r="F96" i="3" s="1"/>
  <c r="E97" i="3"/>
  <c r="E94" i="3"/>
  <c r="E93" i="3"/>
  <c r="E92" i="3"/>
  <c r="I91" i="3"/>
  <c r="I89" i="3" s="1"/>
  <c r="H91" i="3"/>
  <c r="H89" i="3" s="1"/>
  <c r="G91" i="3"/>
  <c r="F91" i="3"/>
  <c r="E91" i="3" s="1"/>
  <c r="E90" i="3"/>
  <c r="G89" i="3"/>
  <c r="F89" i="3"/>
  <c r="E89" i="3" s="1"/>
  <c r="E87" i="3"/>
  <c r="E86" i="3"/>
  <c r="E85" i="3"/>
  <c r="H82" i="3"/>
  <c r="I81" i="3"/>
  <c r="H81" i="3"/>
  <c r="G81" i="3"/>
  <c r="E81" i="3" s="1"/>
  <c r="E80" i="3"/>
  <c r="I79" i="3"/>
  <c r="I82" i="3" s="1"/>
  <c r="H79" i="3"/>
  <c r="G79" i="3"/>
  <c r="G82" i="3" s="1"/>
  <c r="F79" i="3"/>
  <c r="F82" i="3" s="1"/>
  <c r="E78" i="3"/>
  <c r="E77" i="3"/>
  <c r="E75" i="3"/>
  <c r="G73" i="3"/>
  <c r="E73" i="3" s="1"/>
  <c r="I71" i="3"/>
  <c r="H71" i="3"/>
  <c r="G71" i="3"/>
  <c r="F71" i="3"/>
  <c r="E70" i="3"/>
  <c r="E69" i="3"/>
  <c r="I68" i="3"/>
  <c r="I65" i="3" s="1"/>
  <c r="H68" i="3"/>
  <c r="G68" i="3"/>
  <c r="E67" i="3"/>
  <c r="E66" i="3"/>
  <c r="E64" i="3"/>
  <c r="E63" i="3"/>
  <c r="G59" i="3"/>
  <c r="F59" i="3"/>
  <c r="H57" i="3"/>
  <c r="H55" i="3" s="1"/>
  <c r="G57" i="3"/>
  <c r="F57" i="3"/>
  <c r="E57" i="3" s="1"/>
  <c r="I55" i="3"/>
  <c r="G55" i="3"/>
  <c r="G47" i="3" s="1"/>
  <c r="I52" i="3"/>
  <c r="H52" i="3"/>
  <c r="G52" i="3"/>
  <c r="F52" i="3"/>
  <c r="I49" i="3"/>
  <c r="H49" i="3"/>
  <c r="H47" i="3" s="1"/>
  <c r="G49" i="3"/>
  <c r="F49" i="3"/>
  <c r="E49" i="3" s="1"/>
  <c r="E48" i="3"/>
  <c r="I44" i="3"/>
  <c r="H44" i="3"/>
  <c r="G44" i="3"/>
  <c r="E44" i="3" s="1"/>
  <c r="F44" i="3"/>
  <c r="E43" i="3"/>
  <c r="E42" i="3"/>
  <c r="E41" i="3"/>
  <c r="E40" i="3"/>
  <c r="E39" i="3"/>
  <c r="F38" i="3"/>
  <c r="F76" i="3" s="1"/>
  <c r="E37" i="3"/>
  <c r="E35" i="3"/>
  <c r="I33" i="3"/>
  <c r="I27" i="3" s="1"/>
  <c r="I120" i="3" s="1"/>
  <c r="H33" i="3"/>
  <c r="G33" i="3"/>
  <c r="F33" i="3"/>
  <c r="F27" i="3" s="1"/>
  <c r="E32" i="3"/>
  <c r="E31" i="3"/>
  <c r="E30" i="3"/>
  <c r="E29" i="3"/>
  <c r="E28" i="3"/>
  <c r="H27" i="3"/>
  <c r="H120" i="3" s="1"/>
  <c r="G27" i="3"/>
  <c r="G120" i="3" s="1"/>
  <c r="E26" i="3"/>
  <c r="E25" i="3"/>
  <c r="H23" i="3"/>
  <c r="H61" i="3" s="1"/>
  <c r="E61" i="3" s="1"/>
  <c r="G21" i="3"/>
  <c r="F21" i="3"/>
  <c r="E19" i="3"/>
  <c r="I17" i="3"/>
  <c r="H17" i="3"/>
  <c r="G17" i="3"/>
  <c r="F17" i="3"/>
  <c r="I14" i="3"/>
  <c r="H14" i="3"/>
  <c r="G14" i="3"/>
  <c r="F14" i="3"/>
  <c r="I11" i="3"/>
  <c r="I9" i="3" s="1"/>
  <c r="H11" i="3"/>
  <c r="H9" i="3" s="1"/>
  <c r="G11" i="3"/>
  <c r="F11" i="3"/>
  <c r="E11" i="3"/>
  <c r="E10" i="3"/>
  <c r="G9" i="3"/>
  <c r="F9" i="3"/>
  <c r="B3" i="3"/>
  <c r="E122" i="3" l="1"/>
  <c r="E141" i="3"/>
  <c r="E14" i="3"/>
  <c r="E17" i="3"/>
  <c r="I47" i="3"/>
  <c r="H65" i="3"/>
  <c r="E27" i="3"/>
  <c r="E52" i="3"/>
  <c r="G65" i="3"/>
  <c r="E105" i="3"/>
  <c r="E71" i="3"/>
  <c r="E82" i="3"/>
  <c r="E124" i="3"/>
  <c r="H118" i="3"/>
  <c r="H116" i="3" s="1"/>
  <c r="H140" i="3"/>
  <c r="H138" i="3" s="1"/>
  <c r="E96" i="3"/>
  <c r="F95" i="3"/>
  <c r="E95" i="3" s="1"/>
  <c r="G118" i="3"/>
  <c r="G116" i="3" s="1"/>
  <c r="G140" i="3"/>
  <c r="G138" i="3" s="1"/>
  <c r="F140" i="3"/>
  <c r="I140" i="3"/>
  <c r="I138" i="3" s="1"/>
  <c r="I118" i="3"/>
  <c r="I116" i="3" s="1"/>
  <c r="G83" i="3"/>
  <c r="E129" i="3"/>
  <c r="F45" i="3"/>
  <c r="G38" i="3"/>
  <c r="G76" i="3" s="1"/>
  <c r="E23" i="3"/>
  <c r="E33" i="3"/>
  <c r="F55" i="3"/>
  <c r="E68" i="3"/>
  <c r="E79" i="3"/>
  <c r="E98" i="3"/>
  <c r="E9" i="3"/>
  <c r="H22" i="3"/>
  <c r="E120" i="3"/>
  <c r="F128" i="3"/>
  <c r="E128" i="3" s="1"/>
  <c r="F65" i="3"/>
  <c r="E65" i="3" s="1"/>
  <c r="E116" i="3" l="1"/>
  <c r="H60" i="3"/>
  <c r="E22" i="3"/>
  <c r="H21" i="3"/>
  <c r="F138" i="3"/>
  <c r="E138" i="3" s="1"/>
  <c r="E140" i="3"/>
  <c r="E55" i="3"/>
  <c r="F47" i="3"/>
  <c r="E118" i="3"/>
  <c r="G45" i="3"/>
  <c r="E142" i="3"/>
  <c r="H59" i="3" l="1"/>
  <c r="E60" i="3"/>
  <c r="E47" i="3"/>
  <c r="F83" i="3"/>
  <c r="I24" i="3"/>
  <c r="H38" i="3"/>
  <c r="H76" i="3" l="1"/>
  <c r="E76" i="3" s="1"/>
  <c r="I62" i="3"/>
  <c r="E24" i="3"/>
  <c r="I38" i="3"/>
  <c r="E38" i="3" s="1"/>
  <c r="I21" i="3"/>
  <c r="H83" i="3"/>
  <c r="H45" i="3"/>
  <c r="I45" i="3" l="1"/>
  <c r="E21" i="3"/>
  <c r="I59" i="3"/>
  <c r="E62" i="3"/>
  <c r="E45" i="3"/>
  <c r="I83" i="3" l="1"/>
  <c r="E83" i="3" s="1"/>
  <c r="E59" i="3"/>
  <c r="E139" i="4" l="1"/>
  <c r="E137" i="4"/>
  <c r="E136" i="4"/>
  <c r="E135" i="4"/>
  <c r="I134" i="4"/>
  <c r="H134" i="4"/>
  <c r="G134" i="4"/>
  <c r="F134" i="4"/>
  <c r="E134" i="4" s="1"/>
  <c r="E133" i="4"/>
  <c r="E132" i="4"/>
  <c r="I131" i="4"/>
  <c r="H131" i="4"/>
  <c r="H129" i="4" s="1"/>
  <c r="H128" i="4" s="1"/>
  <c r="G131" i="4"/>
  <c r="G129" i="4" s="1"/>
  <c r="F131" i="4"/>
  <c r="F129" i="4" s="1"/>
  <c r="E130" i="4"/>
  <c r="I129" i="4"/>
  <c r="I128" i="4" s="1"/>
  <c r="E127" i="4"/>
  <c r="E126" i="4"/>
  <c r="E125" i="4"/>
  <c r="I124" i="4"/>
  <c r="I122" i="4" s="1"/>
  <c r="H124" i="4"/>
  <c r="H122" i="4" s="1"/>
  <c r="G124" i="4"/>
  <c r="G122" i="4" s="1"/>
  <c r="F124" i="4"/>
  <c r="F122" i="4" s="1"/>
  <c r="E123" i="4"/>
  <c r="F120" i="4"/>
  <c r="F118" i="4" s="1"/>
  <c r="G119" i="4"/>
  <c r="E119" i="4" s="1"/>
  <c r="E117" i="4"/>
  <c r="E115" i="4"/>
  <c r="E114" i="4"/>
  <c r="E113" i="4"/>
  <c r="I112" i="4"/>
  <c r="H112" i="4"/>
  <c r="G112" i="4"/>
  <c r="F112" i="4"/>
  <c r="E111" i="4"/>
  <c r="E110" i="4"/>
  <c r="E109" i="4"/>
  <c r="E108" i="4"/>
  <c r="E107" i="4"/>
  <c r="E106" i="4"/>
  <c r="I105" i="4"/>
  <c r="H105" i="4"/>
  <c r="G105" i="4"/>
  <c r="F105" i="4"/>
  <c r="E104" i="4"/>
  <c r="E103" i="4"/>
  <c r="I102" i="4"/>
  <c r="H102" i="4"/>
  <c r="G102" i="4"/>
  <c r="F102" i="4"/>
  <c r="E101" i="4"/>
  <c r="E100" i="4"/>
  <c r="I99" i="4"/>
  <c r="H99" i="4"/>
  <c r="G99" i="4"/>
  <c r="F99" i="4"/>
  <c r="E97" i="4"/>
  <c r="E94" i="4"/>
  <c r="E93" i="4"/>
  <c r="E92" i="4"/>
  <c r="I91" i="4"/>
  <c r="I89" i="4" s="1"/>
  <c r="H91" i="4"/>
  <c r="H89" i="4" s="1"/>
  <c r="G91" i="4"/>
  <c r="E91" i="4" s="1"/>
  <c r="F91" i="4"/>
  <c r="E90" i="4"/>
  <c r="F89" i="4"/>
  <c r="E87" i="4"/>
  <c r="E86" i="4"/>
  <c r="E85" i="4"/>
  <c r="I81" i="4"/>
  <c r="H81" i="4"/>
  <c r="G81" i="4"/>
  <c r="E81" i="4" s="1"/>
  <c r="E80" i="4"/>
  <c r="I79" i="4"/>
  <c r="I82" i="4" s="1"/>
  <c r="H79" i="4"/>
  <c r="H82" i="4" s="1"/>
  <c r="G79" i="4"/>
  <c r="G82" i="4" s="1"/>
  <c r="F79" i="4"/>
  <c r="E78" i="4"/>
  <c r="E77" i="4"/>
  <c r="E75" i="4"/>
  <c r="G73" i="4"/>
  <c r="E73" i="4" s="1"/>
  <c r="I71" i="4"/>
  <c r="H71" i="4"/>
  <c r="G71" i="4"/>
  <c r="F71" i="4"/>
  <c r="E70" i="4"/>
  <c r="E69" i="4"/>
  <c r="I68" i="4"/>
  <c r="I65" i="4" s="1"/>
  <c r="H68" i="4"/>
  <c r="G68" i="4"/>
  <c r="E68" i="4" s="1"/>
  <c r="E67" i="4"/>
  <c r="E66" i="4"/>
  <c r="E64" i="4"/>
  <c r="E63" i="4"/>
  <c r="G59" i="4"/>
  <c r="F59" i="4"/>
  <c r="H57" i="4"/>
  <c r="H55" i="4" s="1"/>
  <c r="G57" i="4"/>
  <c r="F57" i="4"/>
  <c r="F55" i="4" s="1"/>
  <c r="F47" i="4" s="1"/>
  <c r="I55" i="4"/>
  <c r="G55" i="4"/>
  <c r="I52" i="4"/>
  <c r="H52" i="4"/>
  <c r="G52" i="4"/>
  <c r="F52" i="4"/>
  <c r="I49" i="4"/>
  <c r="I47" i="4" s="1"/>
  <c r="H49" i="4"/>
  <c r="H47" i="4" s="1"/>
  <c r="G49" i="4"/>
  <c r="F49" i="4"/>
  <c r="E48" i="4"/>
  <c r="I44" i="4"/>
  <c r="H44" i="4"/>
  <c r="G44" i="4"/>
  <c r="F44" i="4"/>
  <c r="E43" i="4"/>
  <c r="E42" i="4"/>
  <c r="E41" i="4"/>
  <c r="E40" i="4"/>
  <c r="E39" i="4"/>
  <c r="F38" i="4"/>
  <c r="F76" i="4" s="1"/>
  <c r="E37" i="4"/>
  <c r="E35" i="4"/>
  <c r="I33" i="4"/>
  <c r="I27" i="4" s="1"/>
  <c r="I120" i="4" s="1"/>
  <c r="H33" i="4"/>
  <c r="H27" i="4" s="1"/>
  <c r="H120" i="4" s="1"/>
  <c r="G33" i="4"/>
  <c r="F33" i="4"/>
  <c r="E32" i="4"/>
  <c r="E31" i="4"/>
  <c r="E30" i="4"/>
  <c r="E29" i="4"/>
  <c r="E28" i="4"/>
  <c r="G27" i="4"/>
  <c r="G120" i="4" s="1"/>
  <c r="F27" i="4"/>
  <c r="E26" i="4"/>
  <c r="E25" i="4"/>
  <c r="G21" i="4"/>
  <c r="F21" i="4"/>
  <c r="E19" i="4"/>
  <c r="I17" i="4"/>
  <c r="H17" i="4"/>
  <c r="G17" i="4"/>
  <c r="F17" i="4"/>
  <c r="I14" i="4"/>
  <c r="H14" i="4"/>
  <c r="G14" i="4"/>
  <c r="F14" i="4"/>
  <c r="I11" i="4"/>
  <c r="H11" i="4"/>
  <c r="H9" i="4" s="1"/>
  <c r="G11" i="4"/>
  <c r="F11" i="4"/>
  <c r="E10" i="4"/>
  <c r="I9" i="4"/>
  <c r="F9" i="4"/>
  <c r="F45" i="4" s="1"/>
  <c r="B3" i="4"/>
  <c r="E79" i="4" l="1"/>
  <c r="E102" i="4"/>
  <c r="G65" i="4"/>
  <c r="I98" i="4"/>
  <c r="I96" i="4" s="1"/>
  <c r="I95" i="4" s="1"/>
  <c r="E57" i="4"/>
  <c r="H65" i="4"/>
  <c r="E99" i="4"/>
  <c r="G128" i="4"/>
  <c r="E33" i="4"/>
  <c r="E122" i="4"/>
  <c r="E11" i="4"/>
  <c r="G47" i="4"/>
  <c r="F82" i="4"/>
  <c r="E112" i="4"/>
  <c r="E14" i="4"/>
  <c r="E17" i="4"/>
  <c r="E49" i="4"/>
  <c r="E52" i="4"/>
  <c r="E71" i="4"/>
  <c r="H98" i="4"/>
  <c r="H96" i="4" s="1"/>
  <c r="H95" i="4" s="1"/>
  <c r="E131" i="4"/>
  <c r="E44" i="4"/>
  <c r="G98" i="4"/>
  <c r="G96" i="4" s="1"/>
  <c r="G95" i="4" s="1"/>
  <c r="F98" i="4"/>
  <c r="E141" i="4"/>
  <c r="G118" i="4"/>
  <c r="G116" i="4" s="1"/>
  <c r="G140" i="4"/>
  <c r="G138" i="4" s="1"/>
  <c r="F116" i="4"/>
  <c r="E27" i="4"/>
  <c r="E47" i="4"/>
  <c r="E82" i="4"/>
  <c r="E129" i="4"/>
  <c r="I140" i="4"/>
  <c r="I138" i="4" s="1"/>
  <c r="I118" i="4"/>
  <c r="I116" i="4" s="1"/>
  <c r="E55" i="4"/>
  <c r="H140" i="4"/>
  <c r="H138" i="4" s="1"/>
  <c r="H118" i="4"/>
  <c r="H116" i="4" s="1"/>
  <c r="F96" i="4"/>
  <c r="E105" i="4"/>
  <c r="E120" i="4"/>
  <c r="F128" i="4"/>
  <c r="E128" i="4" s="1"/>
  <c r="F65" i="4"/>
  <c r="E65" i="4" s="1"/>
  <c r="E124" i="4"/>
  <c r="H22" i="4"/>
  <c r="G9" i="4"/>
  <c r="E9" i="4" s="1"/>
  <c r="H23" i="4"/>
  <c r="G89" i="4"/>
  <c r="E89" i="4" s="1"/>
  <c r="F83" i="4" l="1"/>
  <c r="E98" i="4"/>
  <c r="E23" i="4"/>
  <c r="H61" i="4"/>
  <c r="E61" i="4" s="1"/>
  <c r="E96" i="4"/>
  <c r="F95" i="4"/>
  <c r="E95" i="4" s="1"/>
  <c r="H60" i="4"/>
  <c r="E22" i="4"/>
  <c r="H21" i="4"/>
  <c r="E118" i="4"/>
  <c r="E142" i="4"/>
  <c r="F140" i="4"/>
  <c r="G38" i="4"/>
  <c r="G45" i="4" s="1"/>
  <c r="E116" i="4"/>
  <c r="E60" i="4" l="1"/>
  <c r="H59" i="4"/>
  <c r="F138" i="4"/>
  <c r="E138" i="4" s="1"/>
  <c r="E140" i="4"/>
  <c r="G76" i="4"/>
  <c r="I24" i="4"/>
  <c r="H38" i="4"/>
  <c r="H76" i="4" s="1"/>
  <c r="G83" i="4" l="1"/>
  <c r="E76" i="4"/>
  <c r="H83" i="4"/>
  <c r="H45" i="4"/>
  <c r="I21" i="4"/>
  <c r="I38" i="4"/>
  <c r="E38" i="4" s="1"/>
  <c r="I62" i="4"/>
  <c r="E24" i="4"/>
  <c r="E62" i="4" l="1"/>
  <c r="I59" i="4"/>
  <c r="I45" i="4"/>
  <c r="E45" i="4" s="1"/>
  <c r="E21" i="4"/>
  <c r="I83" i="4" l="1"/>
  <c r="E83" i="4" s="1"/>
  <c r="E59" i="4"/>
  <c r="F140" i="1" l="1"/>
  <c r="F138" i="1" s="1"/>
  <c r="E139" i="1"/>
  <c r="E137" i="1"/>
  <c r="E136" i="1"/>
  <c r="E135" i="1"/>
  <c r="I134" i="1"/>
  <c r="H134" i="1"/>
  <c r="G134" i="1"/>
  <c r="F134" i="1"/>
  <c r="E133" i="1"/>
  <c r="E132" i="1"/>
  <c r="I131" i="1"/>
  <c r="H131" i="1"/>
  <c r="G131" i="1"/>
  <c r="G129" i="1" s="1"/>
  <c r="G128" i="1" s="1"/>
  <c r="F131" i="1"/>
  <c r="F129" i="1" s="1"/>
  <c r="E130" i="1"/>
  <c r="I129" i="1"/>
  <c r="I128" i="1" s="1"/>
  <c r="H129" i="1"/>
  <c r="H128" i="1" s="1"/>
  <c r="E127" i="1"/>
  <c r="E126" i="1"/>
  <c r="E125" i="1"/>
  <c r="I124" i="1"/>
  <c r="I122" i="1" s="1"/>
  <c r="H124" i="1"/>
  <c r="G124" i="1"/>
  <c r="F124" i="1"/>
  <c r="F122" i="1" s="1"/>
  <c r="E122" i="1" s="1"/>
  <c r="E123" i="1"/>
  <c r="H122" i="1"/>
  <c r="G122" i="1"/>
  <c r="G119" i="1"/>
  <c r="F118" i="1"/>
  <c r="F116" i="1" s="1"/>
  <c r="E117" i="1"/>
  <c r="E115" i="1"/>
  <c r="E114" i="1"/>
  <c r="E113" i="1"/>
  <c r="I112" i="1"/>
  <c r="H112" i="1"/>
  <c r="G112" i="1"/>
  <c r="F112" i="1"/>
  <c r="E112" i="1" s="1"/>
  <c r="E111" i="1"/>
  <c r="E110" i="1"/>
  <c r="E109" i="1"/>
  <c r="E108" i="1"/>
  <c r="E107" i="1"/>
  <c r="E106" i="1"/>
  <c r="I105" i="1"/>
  <c r="H105" i="1"/>
  <c r="G105" i="1"/>
  <c r="F105" i="1"/>
  <c r="E105" i="1" s="1"/>
  <c r="E104" i="1"/>
  <c r="E103" i="1"/>
  <c r="I102" i="1"/>
  <c r="H102" i="1"/>
  <c r="G102" i="1"/>
  <c r="F102" i="1"/>
  <c r="E101" i="1"/>
  <c r="E100" i="1"/>
  <c r="I99" i="1"/>
  <c r="I98" i="1" s="1"/>
  <c r="I96" i="1" s="1"/>
  <c r="I95" i="1" s="1"/>
  <c r="H99" i="1"/>
  <c r="H98" i="1" s="1"/>
  <c r="H96" i="1" s="1"/>
  <c r="H95" i="1" s="1"/>
  <c r="G99" i="1"/>
  <c r="F99" i="1"/>
  <c r="E99" i="1" s="1"/>
  <c r="G98" i="1"/>
  <c r="G96" i="1" s="1"/>
  <c r="G95" i="1" s="1"/>
  <c r="E97" i="1"/>
  <c r="E94" i="1"/>
  <c r="E93" i="1"/>
  <c r="E92" i="1"/>
  <c r="I91" i="1"/>
  <c r="I89" i="1" s="1"/>
  <c r="H91" i="1"/>
  <c r="G91" i="1"/>
  <c r="F91" i="1"/>
  <c r="F89" i="1" s="1"/>
  <c r="E89" i="1" s="1"/>
  <c r="E90" i="1"/>
  <c r="H89" i="1"/>
  <c r="G89" i="1"/>
  <c r="E87" i="1"/>
  <c r="E86" i="1"/>
  <c r="E85" i="1"/>
  <c r="H82" i="1"/>
  <c r="I81" i="1"/>
  <c r="I82" i="1" s="1"/>
  <c r="H81" i="1"/>
  <c r="G81" i="1"/>
  <c r="E81" i="1"/>
  <c r="E80" i="1"/>
  <c r="I79" i="1"/>
  <c r="H79" i="1"/>
  <c r="G79" i="1"/>
  <c r="G82" i="1" s="1"/>
  <c r="F79" i="1"/>
  <c r="F82" i="1" s="1"/>
  <c r="E78" i="1"/>
  <c r="E77" i="1"/>
  <c r="E75" i="1"/>
  <c r="G73" i="1"/>
  <c r="E73" i="1" s="1"/>
  <c r="I71" i="1"/>
  <c r="H71" i="1"/>
  <c r="G71" i="1"/>
  <c r="F71" i="1"/>
  <c r="E71" i="1" s="1"/>
  <c r="E70" i="1"/>
  <c r="E69" i="1"/>
  <c r="I68" i="1"/>
  <c r="H68" i="1"/>
  <c r="H65" i="1" s="1"/>
  <c r="G68" i="1"/>
  <c r="E67" i="1"/>
  <c r="E66" i="1"/>
  <c r="E64" i="1"/>
  <c r="E63" i="1"/>
  <c r="G59" i="1"/>
  <c r="F59" i="1"/>
  <c r="H57" i="1"/>
  <c r="G57" i="1"/>
  <c r="G55" i="1" s="1"/>
  <c r="F57" i="1"/>
  <c r="I55" i="1"/>
  <c r="H55" i="1"/>
  <c r="I52" i="1"/>
  <c r="H52" i="1"/>
  <c r="G52" i="1"/>
  <c r="F52" i="1"/>
  <c r="E52" i="1" s="1"/>
  <c r="I49" i="1"/>
  <c r="I47" i="1" s="1"/>
  <c r="H49" i="1"/>
  <c r="G49" i="1"/>
  <c r="F49" i="1"/>
  <c r="E48" i="1"/>
  <c r="H47" i="1"/>
  <c r="I44" i="1"/>
  <c r="H44" i="1"/>
  <c r="G44" i="1"/>
  <c r="F44" i="1"/>
  <c r="E43" i="1"/>
  <c r="E42" i="1"/>
  <c r="E41" i="1"/>
  <c r="E40" i="1"/>
  <c r="E39" i="1"/>
  <c r="F38" i="1"/>
  <c r="F76" i="1" s="1"/>
  <c r="E37" i="1"/>
  <c r="E35" i="1"/>
  <c r="I33" i="1"/>
  <c r="H33" i="1"/>
  <c r="G33" i="1"/>
  <c r="G27" i="1" s="1"/>
  <c r="F33" i="1"/>
  <c r="F27" i="1" s="1"/>
  <c r="E32" i="1"/>
  <c r="E31" i="1"/>
  <c r="E30" i="1"/>
  <c r="E29" i="1"/>
  <c r="E28" i="1"/>
  <c r="I27" i="1"/>
  <c r="I120" i="1" s="1"/>
  <c r="H27" i="1"/>
  <c r="H120" i="1" s="1"/>
  <c r="E26" i="1"/>
  <c r="E25" i="1"/>
  <c r="H22" i="1"/>
  <c r="H60" i="1" s="1"/>
  <c r="E22" i="1"/>
  <c r="G21" i="1"/>
  <c r="F21" i="1"/>
  <c r="E19" i="1"/>
  <c r="I17" i="1"/>
  <c r="H17" i="1"/>
  <c r="G17" i="1"/>
  <c r="F17" i="1"/>
  <c r="I14" i="1"/>
  <c r="H14" i="1"/>
  <c r="H9" i="1" s="1"/>
  <c r="G14" i="1"/>
  <c r="F14" i="1"/>
  <c r="E14" i="1"/>
  <c r="I11" i="1"/>
  <c r="I9" i="1" s="1"/>
  <c r="H11" i="1"/>
  <c r="G11" i="1"/>
  <c r="F11" i="1"/>
  <c r="F9" i="1" s="1"/>
  <c r="E10" i="1"/>
  <c r="G9" i="1"/>
  <c r="B3" i="1"/>
  <c r="E57" i="1" l="1"/>
  <c r="F65" i="1"/>
  <c r="I65" i="1"/>
  <c r="E17" i="1"/>
  <c r="G47" i="1"/>
  <c r="E102" i="1"/>
  <c r="E27" i="1"/>
  <c r="E44" i="1"/>
  <c r="G65" i="1"/>
  <c r="E134" i="1"/>
  <c r="E141" i="1"/>
  <c r="I140" i="1"/>
  <c r="I138" i="1" s="1"/>
  <c r="I118" i="1"/>
  <c r="I116" i="1" s="1"/>
  <c r="E129" i="1"/>
  <c r="F128" i="1"/>
  <c r="E128" i="1" s="1"/>
  <c r="F45" i="1"/>
  <c r="E9" i="1"/>
  <c r="H118" i="1"/>
  <c r="H116" i="1" s="1"/>
  <c r="H140" i="1"/>
  <c r="H138" i="1" s="1"/>
  <c r="H23" i="1"/>
  <c r="G120" i="1"/>
  <c r="E82" i="1"/>
  <c r="E65" i="1"/>
  <c r="E11" i="1"/>
  <c r="G38" i="1"/>
  <c r="G76" i="1" s="1"/>
  <c r="G83" i="1" s="1"/>
  <c r="E49" i="1"/>
  <c r="E60" i="1"/>
  <c r="E91" i="1"/>
  <c r="F98" i="1"/>
  <c r="E119" i="1"/>
  <c r="E124" i="1"/>
  <c r="E33" i="1"/>
  <c r="F55" i="1"/>
  <c r="E55" i="1" s="1"/>
  <c r="E68" i="1"/>
  <c r="E79" i="1"/>
  <c r="E131" i="1"/>
  <c r="G45" i="1" l="1"/>
  <c r="E120" i="1"/>
  <c r="G118" i="1"/>
  <c r="F96" i="1"/>
  <c r="E98" i="1"/>
  <c r="H61" i="1"/>
  <c r="E23" i="1"/>
  <c r="H21" i="1"/>
  <c r="F47" i="1"/>
  <c r="I24" i="1" l="1"/>
  <c r="H38" i="1"/>
  <c r="E96" i="1"/>
  <c r="F95" i="1"/>
  <c r="E95" i="1" s="1"/>
  <c r="E47" i="1"/>
  <c r="F83" i="1"/>
  <c r="E61" i="1"/>
  <c r="H59" i="1"/>
  <c r="G116" i="1"/>
  <c r="E116" i="1" s="1"/>
  <c r="E118" i="1"/>
  <c r="E142" i="1"/>
  <c r="G140" i="1"/>
  <c r="H76" i="1" l="1"/>
  <c r="E76" i="1" s="1"/>
  <c r="G138" i="1"/>
  <c r="E138" i="1" s="1"/>
  <c r="E140" i="1"/>
  <c r="H83" i="1"/>
  <c r="I38" i="1"/>
  <c r="E38" i="1" s="1"/>
  <c r="I62" i="1"/>
  <c r="E24" i="1"/>
  <c r="I21" i="1"/>
  <c r="H45" i="1"/>
  <c r="I59" i="1" l="1"/>
  <c r="E62" i="1"/>
  <c r="I45" i="1"/>
  <c r="E45" i="1" s="1"/>
  <c r="E21" i="1"/>
  <c r="I83" i="1" l="1"/>
  <c r="E83" i="1" s="1"/>
  <c r="E59" i="1"/>
</calcChain>
</file>

<file path=xl/sharedStrings.xml><?xml version="1.0" encoding="utf-8"?>
<sst xmlns="http://schemas.openxmlformats.org/spreadsheetml/2006/main" count="5396" uniqueCount="346">
  <si>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</si>
  <si>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</si>
  <si>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</si>
  <si>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</si>
  <si>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</si>
  <si>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</si>
  <si>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</si>
  <si>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</si>
  <si>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</si>
  <si>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</si>
  <si>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</si>
  <si>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</si>
  <si>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</si>
  <si>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</si>
  <si>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</si>
  <si>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</si>
  <si>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</si>
  <si>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</si>
  <si>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</si>
  <si>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</si>
  <si>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</si>
  <si>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</si>
  <si>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</si>
  <si>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</si>
  <si>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</si>
  <si>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</si>
  <si>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</si>
  <si>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</si>
  <si>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</si>
  <si>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</si>
  <si>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</si>
  <si>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ПАО "Кубаньэнерго"</t>
  </si>
  <si>
    <t>2309001660</t>
  </si>
  <si>
    <t>230901001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</si>
  <si>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</si>
  <si>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</si>
  <si>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</si>
  <si>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</si>
  <si>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</si>
  <si>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</si>
  <si>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</si>
  <si>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</si>
  <si>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</si>
  <si>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</si>
  <si>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</si>
  <si>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</si>
  <si>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</si>
  <si>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</si>
  <si>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</si>
  <si>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</si>
  <si>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</si>
  <si>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</si>
  <si>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</si>
  <si>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</si>
  <si>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</si>
  <si>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</si>
  <si>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</si>
  <si>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</si>
  <si>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</si>
  <si>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</si>
  <si>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</si>
  <si>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</si>
  <si>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</si>
  <si>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</si>
  <si>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</si>
  <si>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</si>
  <si>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</si>
  <si>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</si>
  <si>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</si>
  <si>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</si>
  <si>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4.3.1</t>
  </si>
  <si>
    <t>АО "НЭСК-электросети"</t>
  </si>
  <si>
    <t>2308139496</t>
  </si>
  <si>
    <t>230750001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</si>
  <si>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</si>
  <si>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</si>
  <si>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</si>
  <si>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</si>
  <si>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</si>
  <si>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</si>
  <si>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</si>
  <si>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</si>
  <si>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</si>
  <si>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</si>
  <si>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</si>
  <si>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</si>
  <si>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</si>
  <si>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</si>
  <si>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</si>
  <si>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</si>
  <si>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</si>
  <si>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</si>
  <si>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</si>
  <si>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</si>
  <si>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</si>
  <si>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</si>
  <si>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</si>
  <si>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</si>
  <si>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</si>
  <si>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</si>
  <si>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</si>
  <si>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</si>
  <si>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</si>
  <si>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</si>
  <si>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</si>
  <si>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</si>
  <si>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</si>
  <si>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</si>
  <si>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</si>
  <si>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</si>
  <si>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</si>
  <si>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</si>
  <si>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</si>
  <si>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</si>
  <si>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</si>
  <si>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</si>
  <si>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</si>
  <si>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</si>
  <si>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</si>
  <si>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</si>
  <si>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</si>
  <si>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</si>
  <si>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</si>
  <si>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</si>
  <si>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</si>
  <si>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</si>
  <si>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</si>
  <si>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</si>
  <si>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</si>
  <si>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</si>
  <si>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</si>
  <si>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</si>
  <si>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</si>
  <si>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</si>
  <si>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</si>
  <si>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</si>
  <si>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</si>
  <si>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</si>
  <si>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</si>
  <si>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</si>
  <si>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</si>
  <si>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</si>
  <si>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</si>
  <si>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15.3.1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</si>
  <si>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</si>
  <si>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</si>
  <si>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</si>
  <si>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</si>
  <si>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</si>
  <si>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</si>
  <si>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</si>
  <si>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</si>
  <si>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</si>
  <si>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</si>
  <si>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</si>
  <si>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</si>
  <si>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</si>
  <si>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</si>
  <si>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</si>
  <si>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</si>
  <si>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</si>
  <si>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</si>
  <si>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</si>
  <si>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</si>
  <si>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</si>
  <si>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</si>
  <si>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</si>
  <si>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</si>
  <si>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</si>
  <si>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</si>
  <si>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</si>
  <si>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</si>
  <si>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</si>
  <si>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</si>
  <si>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</si>
  <si>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</si>
  <si>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</si>
  <si>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</si>
  <si>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</si>
  <si>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</si>
  <si>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</si>
  <si>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</si>
  <si>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</si>
  <si>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</si>
  <si>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</si>
  <si>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</si>
  <si>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</si>
  <si>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</si>
  <si>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</si>
  <si>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</si>
  <si>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</si>
  <si>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</si>
  <si>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</si>
  <si>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</si>
  <si>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</si>
  <si>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</si>
  <si>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</si>
  <si>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</si>
  <si>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</si>
  <si>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</si>
  <si>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</si>
  <si>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</si>
  <si>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</si>
  <si>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</si>
  <si>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</si>
  <si>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</si>
  <si>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</si>
  <si>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</si>
  <si>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</si>
  <si>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</si>
  <si>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</si>
  <si>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</si>
  <si>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</si>
  <si>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</si>
  <si>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</si>
  <si>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</si>
  <si>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</si>
  <si>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</si>
  <si>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</si>
  <si>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</si>
  <si>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</si>
  <si>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</si>
  <si>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</si>
  <si>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</si>
  <si>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</si>
  <si>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</si>
  <si>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</si>
  <si>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</si>
  <si>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</si>
  <si>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</si>
  <si>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</si>
  <si>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</si>
  <si>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</si>
  <si>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</si>
  <si>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</si>
  <si>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</si>
  <si>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</si>
  <si>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</si>
  <si>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</si>
  <si>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</si>
  <si>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</si>
  <si>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</si>
  <si>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</si>
  <si>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</si>
  <si>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</si>
  <si>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</si>
  <si>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</si>
  <si>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</si>
  <si>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</si>
  <si>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</si>
  <si>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</si>
  <si>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</si>
  <si>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</si>
  <si>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</si>
  <si>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</si>
  <si>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</si>
  <si>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</si>
  <si>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</si>
  <si>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</si>
  <si>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</si>
  <si>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</si>
  <si>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</si>
  <si>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</si>
  <si>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</si>
  <si>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</si>
  <si>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</si>
  <si>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</si>
  <si>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</si>
  <si>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</si>
  <si>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</si>
  <si>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</si>
  <si>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</si>
  <si>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</si>
  <si>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</si>
  <si>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</si>
  <si>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</si>
  <si>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</si>
  <si>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</si>
  <si>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</si>
  <si>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</si>
  <si>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</si>
  <si>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</si>
  <si>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</si>
  <si>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</si>
  <si>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</si>
  <si>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</si>
  <si>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</si>
  <si>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</si>
  <si>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</si>
  <si>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</si>
  <si>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</si>
  <si>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</si>
  <si>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</si>
  <si>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</si>
  <si>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</si>
  <si>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</si>
  <si>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</si>
  <si>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</si>
  <si>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</si>
  <si>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</si>
  <si>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</si>
  <si>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</si>
  <si>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</si>
  <si>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</si>
  <si>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</si>
  <si>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</si>
  <si>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</si>
  <si>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</si>
  <si>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</si>
  <si>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31.2.2</t>
  </si>
  <si>
    <t>2620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</si>
  <si>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</si>
  <si>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</si>
  <si>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</si>
  <si>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</si>
  <si>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</si>
  <si>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</si>
  <si>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</si>
  <si>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</si>
  <si>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</si>
  <si>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</si>
  <si>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</si>
  <si>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экономист</t>
  </si>
  <si>
    <t>Коробкова Е. В.</t>
  </si>
  <si>
    <t>(861)258-50-71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</si>
  <si>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</si>
  <si>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</si>
  <si>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</si>
  <si>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</si>
  <si>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</si>
  <si>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</si>
  <si>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</si>
  <si>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</si>
  <si>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</si>
  <si>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</si>
  <si>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</si>
  <si>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26319769</t>
  </si>
  <si>
    <t>26319807</t>
  </si>
  <si>
    <t>920</t>
  </si>
  <si>
    <t>910</t>
  </si>
  <si>
    <t>1.2.1</t>
  </si>
  <si>
    <t>АО "РАМО-М" (филиал "КВЭП" АО "РАМО-М")</t>
  </si>
  <si>
    <t>7719113976</t>
  </si>
  <si>
    <t>231143001</t>
  </si>
  <si>
    <t>26318579</t>
  </si>
  <si>
    <t>12.2.1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</si>
</sst>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3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4" applyFont="1" applyBorder="1" applyAlignment="1" applyProtection="1">
      <alignment horizontal="center" vertical="center" wrapText="1"/>
    </xf>
    <xf numFmtId="0" fontId="2" fillId="0" borderId="8" xfId="4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3" applyFont="1" applyBorder="1" applyAlignment="1" applyProtection="1">
      <alignment vertical="center"/>
    </xf>
    <xf numFmtId="49" fontId="2" fillId="0" borderId="5" xfId="3" applyFont="1" applyBorder="1" applyAlignment="1" applyProtection="1">
      <alignment vertical="center"/>
    </xf>
    <xf numFmtId="49" fontId="2" fillId="0" borderId="0" xfId="3" applyFont="1" applyAlignment="1" applyProtection="1">
      <alignment vertical="center"/>
    </xf>
    <xf numFmtId="49" fontId="2" fillId="0" borderId="8" xfId="3" applyNumberFormat="1" applyFont="1" applyBorder="1" applyAlignment="1" applyProtection="1">
      <alignment vertical="center"/>
    </xf>
    <xf numFmtId="49" fontId="2" fillId="3" borderId="4" xfId="3" applyFont="1" applyFill="1" applyBorder="1" applyAlignment="1">
      <alignment vertical="center" wrapText="1"/>
    </xf>
    <xf numFmtId="49" fontId="2" fillId="0" borderId="4" xfId="3" applyFont="1" applyBorder="1" applyAlignment="1">
      <alignment horizontal="center" vertical="center" wrapText="1"/>
    </xf>
    <xf numFmtId="164" fontId="2" fillId="4" borderId="4" xfId="3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2" fillId="0" borderId="4" xfId="3" applyFont="1" applyBorder="1" applyAlignment="1">
      <alignment horizontal="left" vertical="center" wrapText="1" indent="1"/>
    </xf>
    <xf numFmtId="164" fontId="2" fillId="5" borderId="4" xfId="3" applyNumberFormat="1" applyFont="1" applyFill="1" applyBorder="1" applyAlignment="1" applyProtection="1">
      <alignment horizontal="right" vertical="center"/>
      <protection locked="0"/>
    </xf>
    <xf numFmtId="49" fontId="8" fillId="0" borderId="7" xfId="3" applyNumberFormat="1" applyFont="1" applyBorder="1" applyAlignment="1" applyProtection="1">
      <alignment vertical="center"/>
    </xf>
    <xf numFmtId="49" fontId="2" fillId="0" borderId="1" xfId="3" applyFont="1" applyFill="1" applyBorder="1" applyAlignment="1" applyProtection="1">
      <alignment horizontal="left" vertical="center" wrapText="1" indent="1"/>
    </xf>
    <xf numFmtId="49" fontId="8" fillId="0" borderId="1" xfId="3" applyFont="1" applyFill="1" applyBorder="1" applyAlignment="1" applyProtection="1">
      <alignment horizontal="center" vertical="center" wrapText="1"/>
    </xf>
    <xf numFmtId="165" fontId="2" fillId="0" borderId="1" xfId="3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0" fontId="10" fillId="7" borderId="0" xfId="5" applyFont="1" applyFill="1" applyBorder="1" applyAlignment="1" applyProtection="1">
      <alignment horizontal="center" vertical="center" wrapText="1"/>
    </xf>
    <xf numFmtId="0" fontId="2" fillId="7" borderId="7" xfId="5" applyFont="1" applyFill="1" applyBorder="1" applyAlignment="1" applyProtection="1">
      <alignment horizontal="left" vertical="center"/>
    </xf>
    <xf numFmtId="0" fontId="0" fillId="8" borderId="8" xfId="6" applyNumberFormat="1" applyFont="1" applyFill="1" applyBorder="1" applyAlignment="1" applyProtection="1">
      <alignment horizontal="left" vertical="center" wrapText="1" indent="2"/>
    </xf>
    <xf numFmtId="0" fontId="2" fillId="0" borderId="7" xfId="3" applyNumberFormat="1" applyFont="1" applyBorder="1" applyAlignment="1">
      <alignment horizontal="center" vertical="center" wrapText="1"/>
    </xf>
    <xf numFmtId="164" fontId="2" fillId="4" borderId="7" xfId="3" applyNumberFormat="1" applyFont="1" applyFill="1" applyBorder="1" applyAlignment="1" applyProtection="1">
      <alignment horizontal="right" vertical="center"/>
    </xf>
    <xf numFmtId="164" fontId="2" fillId="5" borderId="7" xfId="3" applyNumberFormat="1" applyFont="1" applyFill="1" applyBorder="1" applyAlignment="1" applyProtection="1">
      <alignment horizontal="right" vertical="center"/>
      <protection locked="0"/>
    </xf>
    <xf numFmtId="164" fontId="2" fillId="5" borderId="8" xfId="3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3" applyNumberFormat="1" applyFont="1" applyAlignment="1" applyProtection="1">
      <alignment vertical="center"/>
    </xf>
    <xf numFmtId="165" fontId="2" fillId="0" borderId="4" xfId="3" applyNumberFormat="1" applyFont="1" applyFill="1" applyBorder="1" applyAlignment="1" applyProtection="1">
      <alignment horizontal="right" vertical="center"/>
    </xf>
    <xf numFmtId="49" fontId="2" fillId="3" borderId="4" xfId="3" applyFont="1" applyFill="1" applyBorder="1" applyAlignment="1">
      <alignment horizontal="left" vertical="center" wrapText="1"/>
    </xf>
    <xf numFmtId="49" fontId="2" fillId="0" borderId="4" xfId="3" applyFont="1" applyFill="1" applyBorder="1" applyAlignment="1" applyProtection="1">
      <alignment horizontal="center" vertical="center" wrapText="1"/>
    </xf>
    <xf numFmtId="49" fontId="2" fillId="0" borderId="4" xfId="3" applyFont="1" applyBorder="1" applyAlignment="1">
      <alignment horizontal="left" vertical="center" wrapText="1" indent="2"/>
    </xf>
    <xf numFmtId="49" fontId="2" fillId="0" borderId="4" xfId="3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3" applyFont="1" applyFill="1" applyBorder="1" applyAlignment="1" applyProtection="1">
      <alignment horizontal="left" vertical="center" wrapText="1" indent="1"/>
    </xf>
    <xf numFmtId="164" fontId="2" fillId="0" borderId="4" xfId="3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7" applyNumberFormat="1" applyFont="1" applyFill="1" applyBorder="1" applyAlignment="1" applyProtection="1">
      <alignment horizontal="right" vertical="center"/>
    </xf>
    <xf numFmtId="49" fontId="2" fillId="0" borderId="4" xfId="3" applyFont="1" applyBorder="1" applyAlignment="1">
      <alignment horizontal="left" vertical="center" wrapText="1" indent="4"/>
    </xf>
    <xf numFmtId="0" fontId="2" fillId="0" borderId="5" xfId="1" applyFont="1" applyFill="1" applyBorder="1" applyAlignment="1" applyProtection="1">
      <alignment vertical="center"/>
    </xf>
    <xf numFmtId="164" fontId="2" fillId="5" borderId="4" xfId="7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Border="1" applyProtection="1"/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49" fontId="2" fillId="3" borderId="4" xfId="3" applyFont="1" applyFill="1" applyBorder="1" applyAlignment="1">
      <alignment vertical="center"/>
    </xf>
    <xf numFmtId="49" fontId="2" fillId="0" borderId="4" xfId="3" applyFont="1" applyBorder="1" applyAlignment="1">
      <alignment horizontal="center" vertical="center"/>
    </xf>
    <xf numFmtId="0" fontId="7" fillId="0" borderId="0" xfId="1" applyFont="1" applyAlignment="1" applyProtection="1"/>
    <xf numFmtId="49" fontId="2" fillId="0" borderId="4" xfId="3" applyFont="1" applyBorder="1" applyAlignment="1">
      <alignment horizontal="left" vertical="center"/>
    </xf>
    <xf numFmtId="49" fontId="2" fillId="0" borderId="1" xfId="3" applyFont="1" applyFill="1" applyBorder="1" applyAlignment="1" applyProtection="1">
      <alignment horizontal="left" vertical="center"/>
    </xf>
    <xf numFmtId="49" fontId="8" fillId="0" borderId="1" xfId="3" applyFont="1" applyFill="1" applyBorder="1" applyAlignment="1" applyProtection="1">
      <alignment horizontal="center" vertical="center"/>
    </xf>
    <xf numFmtId="0" fontId="9" fillId="6" borderId="9" xfId="0" applyFont="1" applyFill="1" applyBorder="1" applyAlignment="1" applyProtection="1">
      <alignment horizontal="left" vertical="center"/>
    </xf>
    <xf numFmtId="0" fontId="10" fillId="7" borderId="0" xfId="5" applyFont="1" applyFill="1" applyBorder="1" applyAlignment="1" applyProtection="1">
      <alignment horizontal="center" vertical="center"/>
    </xf>
    <xf numFmtId="0" fontId="0" fillId="8" borderId="8" xfId="6" applyNumberFormat="1" applyFont="1" applyFill="1" applyBorder="1" applyAlignment="1" applyProtection="1">
      <alignment horizontal="left" vertical="center"/>
    </xf>
    <xf numFmtId="0" fontId="2" fillId="0" borderId="7" xfId="3" applyNumberFormat="1" applyFont="1" applyBorder="1" applyAlignment="1">
      <alignment horizontal="center" vertical="center"/>
    </xf>
    <xf numFmtId="49" fontId="2" fillId="3" borderId="4" xfId="3" applyFont="1" applyFill="1" applyBorder="1" applyAlignment="1">
      <alignment horizontal="left" vertical="center"/>
    </xf>
    <xf numFmtId="49" fontId="2" fillId="0" borderId="4" xfId="3" applyFont="1" applyFill="1" applyBorder="1" applyAlignment="1" applyProtection="1">
      <alignment horizontal="center" vertical="center"/>
    </xf>
    <xf numFmtId="49" fontId="2" fillId="0" borderId="4" xfId="3" applyFont="1" applyFill="1" applyBorder="1" applyAlignment="1" applyProtection="1">
      <alignment horizontal="left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7" fillId="0" borderId="11" xfId="1" applyFont="1" applyBorder="1" applyAlignment="1" applyProtection="1"/>
    <xf numFmtId="0" fontId="7" fillId="0" borderId="0" xfId="1" applyFont="1" applyBorder="1" applyAlignment="1" applyProtection="1"/>
    <xf numFmtId="0" fontId="7" fillId="0" borderId="0" xfId="1" applyFont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8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horizontal="center" vertical="center"/>
    </xf>
    <xf numFmtId="49" fontId="8" fillId="0" borderId="0" xfId="3" applyFont="1" applyBorder="1" applyAlignment="1">
      <alignment horizontal="center" vertical="center" wrapText="1"/>
    </xf>
    <xf numFmtId="49" fontId="8" fillId="0" borderId="0" xfId="3" applyFont="1" applyBorder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4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3" xfId="4" applyFont="1" applyBorder="1" applyAlignment="1" applyProtection="1">
      <alignment horizontal="center" vertical="center"/>
    </xf>
    <xf numFmtId="49" fontId="2" fillId="2" borderId="7" xfId="3" applyFont="1" applyFill="1" applyBorder="1" applyAlignment="1">
      <alignment horizontal="center" vertical="center"/>
    </xf>
    <xf numFmtId="49" fontId="2" fillId="2" borderId="9" xfId="3" applyFont="1" applyFill="1" applyBorder="1" applyAlignment="1">
      <alignment horizontal="center" vertical="center"/>
    </xf>
    <xf numFmtId="49" fontId="2" fillId="2" borderId="10" xfId="3" applyFont="1" applyFill="1" applyBorder="1" applyAlignment="1">
      <alignment horizontal="center" vertical="center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4" applyFont="1" applyBorder="1" applyAlignment="1" applyProtection="1">
      <alignment horizontal="center" vertical="center" wrapText="1"/>
    </xf>
    <xf numFmtId="0" fontId="2" fillId="0" borderId="7" xfId="4" applyFont="1" applyBorder="1" applyAlignment="1" applyProtection="1">
      <alignment horizontal="center" vertical="center" wrapText="1"/>
    </xf>
    <xf numFmtId="0" fontId="2" fillId="0" borderId="3" xfId="4" applyFont="1" applyBorder="1" applyAlignment="1" applyProtection="1">
      <alignment horizontal="center" vertical="center" wrapText="1"/>
    </xf>
  </cellXfs>
  <cellStyles count="9">
    <cellStyle name="Обычный" xfId="0" builtinId="0"/>
    <cellStyle name="Обычный 10" xfId="3"/>
    <cellStyle name="Обычный_MINENERGO.340.PRIL79(v0.1)" xfId="5"/>
    <cellStyle name="Обычный_ЖКУ_проект3" xfId="6"/>
    <cellStyle name="Обычный_Полезный отпуск электроэнергии и мощности, реализуемой по нерегулируемым ценам" xfId="8"/>
    <cellStyle name="Обычный_Полезный отпуск электроэнергии и мощности, реализуемой по регулируемым ценам" xfId="1"/>
    <cellStyle name="Обычный_Продажа" xfId="7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vneva\Downloads\46EP.STX(v1.0)%20&#1103;&#1085;&#1074;&#1072;&#1088;&#1100;%202020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75;&#1086;&#1076;%20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4;&#1072;&#1081;%202020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0;&#1102;&#1085;&#1100;%202020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0;&#1102;&#1083;&#1100;%202020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72;&#1074;&#1075;&#1091;&#1089;&#1090;%202020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9;&#1077;&#1085;&#1090;&#1103;&#1073;&#1088;&#1100;%202020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6;&#1082;&#1090;&#1103;&#1073;&#1088;&#1100;%202020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85;&#1086;&#1103;&#1073;&#1088;&#1100;%202020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4;&#1054;&#1054;%20&#1050;&#1042;&#1069;&#1055;%20&#1045;&#1048;&#1040;&#1057;,%20&#1086;&#1090;&#1095;&#1077;&#1090;&#1099;\&#1054;&#1054;&#1054;%20&#1045;&#1048;&#1040;&#1057;%202014-2020\&#1076;&#1086;%2020%20&#1077;&#1078;&#1077;&#1084;&#1077;&#1089;.%2046%20&#1092;&#1086;&#1088;&#1084;&#1072;\2020\46EP.STX(v1.0)%20&#1076;&#1077;&#1082;&#1072;&#1073;&#1088;&#1100;%2020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"КВЭП"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Коробкова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Кривнева Е. В.</v>
          </cell>
        </row>
        <row r="45">
          <cell r="G45" t="str">
            <v>экономист</v>
          </cell>
        </row>
        <row r="46">
          <cell r="G46" t="str">
            <v>(861) 258-50-71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opLeftCell="A109" workbookViewId="0">
      <selection activeCell="I143" sqref="I143"/>
    </sheetView>
  </sheetViews>
  <sheetFormatPr defaultRowHeight="15" x14ac:dyDescent="0.25"/>
  <cols>
    <col min="3" max="3" width="65.5703125" customWidth="1"/>
    <col min="4" max="4" width="12.7109375" customWidth="1"/>
    <col min="5" max="9" width="18.710937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3"/>
      <c r="J1" s="1"/>
      <c r="K1" s="1"/>
      <c r="L1" s="1"/>
    </row>
    <row r="2" spans="1:12" ht="25.5" customHeight="1" x14ac:dyDescent="0.25">
      <c r="A2" s="1"/>
      <c r="B2" s="105" t="s">
        <v>0</v>
      </c>
      <c r="C2" s="105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1"/>
      <c r="B3" s="5" t="str">
        <f>IF(org="","Не определено",org)</f>
        <v>ООО "КВЭП"</v>
      </c>
      <c r="C3" s="5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/>
      <c r="B4" s="6"/>
      <c r="C4" s="6"/>
      <c r="D4" s="2"/>
      <c r="E4" s="2"/>
      <c r="F4" s="2"/>
      <c r="G4" s="2"/>
      <c r="H4" s="1"/>
      <c r="I4" s="7" t="s">
        <v>1</v>
      </c>
      <c r="J4" s="1"/>
      <c r="K4" s="1"/>
      <c r="L4" s="1"/>
    </row>
    <row r="5" spans="1:12" x14ac:dyDescent="0.25">
      <c r="A5" s="2"/>
      <c r="B5" s="106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/>
      <c r="H5" s="108"/>
      <c r="I5" s="110"/>
      <c r="J5" s="8"/>
      <c r="K5" s="1"/>
      <c r="L5" s="1"/>
    </row>
    <row r="6" spans="1:12" x14ac:dyDescent="0.25">
      <c r="A6" s="2"/>
      <c r="B6" s="107"/>
      <c r="C6" s="109"/>
      <c r="D6" s="109"/>
      <c r="E6" s="109"/>
      <c r="F6" s="64" t="s">
        <v>7</v>
      </c>
      <c r="G6" s="64" t="s">
        <v>8</v>
      </c>
      <c r="H6" s="64" t="s">
        <v>9</v>
      </c>
      <c r="I6" s="65" t="s">
        <v>10</v>
      </c>
      <c r="J6" s="8"/>
      <c r="K6" s="1"/>
      <c r="L6" s="1"/>
    </row>
    <row r="7" spans="1:12" x14ac:dyDescent="0.25">
      <c r="A7" s="1"/>
      <c r="B7" s="66">
        <v>0</v>
      </c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1"/>
      <c r="K7" s="1"/>
      <c r="L7" s="1"/>
    </row>
    <row r="8" spans="1:12" x14ac:dyDescent="0.25">
      <c r="A8" s="12"/>
      <c r="B8" s="111" t="s">
        <v>11</v>
      </c>
      <c r="C8" s="112"/>
      <c r="D8" s="112"/>
      <c r="E8" s="112"/>
      <c r="F8" s="112"/>
      <c r="G8" s="112"/>
      <c r="H8" s="112"/>
      <c r="I8" s="113"/>
      <c r="J8" s="13"/>
      <c r="K8" s="14"/>
      <c r="L8" s="14"/>
    </row>
    <row r="9" spans="1:12" x14ac:dyDescent="0.25">
      <c r="A9" s="12"/>
      <c r="B9" s="15" t="s">
        <v>12</v>
      </c>
      <c r="C9" s="67" t="s">
        <v>13</v>
      </c>
      <c r="D9" s="68">
        <v>10</v>
      </c>
      <c r="E9" s="18">
        <f>SUM(F9:I9)</f>
        <v>6666.4049999999997</v>
      </c>
      <c r="F9" s="18">
        <f>F10+F11+F14+F17</f>
        <v>704.23599999999999</v>
      </c>
      <c r="G9" s="18">
        <f>G10+G11+G14+G17</f>
        <v>5713.6049999999996</v>
      </c>
      <c r="H9" s="18">
        <f>H10+H11+H14+H17</f>
        <v>248.56399999999999</v>
      </c>
      <c r="I9" s="18">
        <f>I10+I11+I14+I17</f>
        <v>0</v>
      </c>
      <c r="J9" s="13"/>
      <c r="K9" s="69"/>
      <c r="L9" s="14"/>
    </row>
    <row r="10" spans="1:12" x14ac:dyDescent="0.25">
      <c r="A10" s="12"/>
      <c r="B10" s="15" t="s">
        <v>14</v>
      </c>
      <c r="C10" s="70" t="s">
        <v>15</v>
      </c>
      <c r="D10" s="68">
        <v>20</v>
      </c>
      <c r="E10" s="18">
        <f t="shared" ref="E10:E128" si="0">SUM(F10:I10)</f>
        <v>0</v>
      </c>
      <c r="F10" s="21"/>
      <c r="G10" s="21"/>
      <c r="H10" s="21"/>
      <c r="I10" s="21"/>
      <c r="J10" s="13"/>
      <c r="K10" s="69"/>
      <c r="L10" s="14"/>
    </row>
    <row r="11" spans="1:12" x14ac:dyDescent="0.25">
      <c r="A11" s="12"/>
      <c r="B11" s="15" t="s">
        <v>16</v>
      </c>
      <c r="C11" s="70" t="s">
        <v>17</v>
      </c>
      <c r="D11" s="68">
        <v>30</v>
      </c>
      <c r="E11" s="18">
        <f t="shared" si="0"/>
        <v>0</v>
      </c>
      <c r="F11" s="18">
        <f>SUM(F12:F13)</f>
        <v>0</v>
      </c>
      <c r="G11" s="18">
        <f>SUM(G12:G13)</f>
        <v>0</v>
      </c>
      <c r="H11" s="18">
        <f>SUM(H12:H13)</f>
        <v>0</v>
      </c>
      <c r="I11" s="18">
        <f>SUM(I12:I13)</f>
        <v>0</v>
      </c>
      <c r="J11" s="13"/>
      <c r="K11" s="69"/>
      <c r="L11" s="14"/>
    </row>
    <row r="12" spans="1:12" x14ac:dyDescent="0.25">
      <c r="A12" s="12"/>
      <c r="B12" s="22" t="s">
        <v>18</v>
      </c>
      <c r="C12" s="71"/>
      <c r="D12" s="72" t="s">
        <v>19</v>
      </c>
      <c r="E12" s="25"/>
      <c r="F12" s="25"/>
      <c r="G12" s="25"/>
      <c r="H12" s="25"/>
      <c r="I12" s="25"/>
      <c r="J12" s="13"/>
      <c r="K12" s="69"/>
      <c r="L12" s="14"/>
    </row>
    <row r="13" spans="1:12" x14ac:dyDescent="0.25">
      <c r="A13" s="12"/>
      <c r="B13" s="26"/>
      <c r="C13" s="73" t="s">
        <v>20</v>
      </c>
      <c r="D13" s="28"/>
      <c r="E13" s="28"/>
      <c r="F13" s="28"/>
      <c r="G13" s="28"/>
      <c r="H13" s="28"/>
      <c r="I13" s="29"/>
      <c r="J13" s="13"/>
      <c r="K13" s="69"/>
      <c r="L13" s="14"/>
    </row>
    <row r="14" spans="1:12" x14ac:dyDescent="0.25">
      <c r="A14" s="12"/>
      <c r="B14" s="15" t="s">
        <v>21</v>
      </c>
      <c r="C14" s="70" t="s">
        <v>22</v>
      </c>
      <c r="D14" s="68" t="s">
        <v>23</v>
      </c>
      <c r="E14" s="18">
        <f t="shared" si="0"/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>SUM(I15:I16)</f>
        <v>0</v>
      </c>
      <c r="J14" s="13"/>
      <c r="K14" s="69"/>
      <c r="L14" s="14"/>
    </row>
    <row r="15" spans="1:12" x14ac:dyDescent="0.25">
      <c r="A15" s="12"/>
      <c r="B15" s="22" t="s">
        <v>24</v>
      </c>
      <c r="C15" s="71"/>
      <c r="D15" s="72" t="s">
        <v>23</v>
      </c>
      <c r="E15" s="25"/>
      <c r="F15" s="25"/>
      <c r="G15" s="25"/>
      <c r="H15" s="25"/>
      <c r="I15" s="25"/>
      <c r="J15" s="13"/>
      <c r="K15" s="69"/>
      <c r="L15" s="14"/>
    </row>
    <row r="16" spans="1:12" x14ac:dyDescent="0.25">
      <c r="A16" s="12"/>
      <c r="B16" s="26"/>
      <c r="C16" s="73" t="s">
        <v>20</v>
      </c>
      <c r="D16" s="28"/>
      <c r="E16" s="28"/>
      <c r="F16" s="28"/>
      <c r="G16" s="28"/>
      <c r="H16" s="28"/>
      <c r="I16" s="29"/>
      <c r="J16" s="13"/>
      <c r="K16" s="69"/>
      <c r="L16" s="14"/>
    </row>
    <row r="17" spans="1:12" x14ac:dyDescent="0.25">
      <c r="A17" s="12"/>
      <c r="B17" s="15" t="s">
        <v>25</v>
      </c>
      <c r="C17" s="70" t="s">
        <v>26</v>
      </c>
      <c r="D17" s="68" t="s">
        <v>27</v>
      </c>
      <c r="E17" s="18">
        <f t="shared" si="0"/>
        <v>6666.4049999999997</v>
      </c>
      <c r="F17" s="18">
        <f>SUM(F18:F20)</f>
        <v>704.23599999999999</v>
      </c>
      <c r="G17" s="18">
        <f>SUM(G18:G20)</f>
        <v>5713.6049999999996</v>
      </c>
      <c r="H17" s="18">
        <f>SUM(H18:H20)</f>
        <v>248.56399999999999</v>
      </c>
      <c r="I17" s="18">
        <f>SUM(I18:I20)</f>
        <v>0</v>
      </c>
      <c r="J17" s="13"/>
      <c r="K17" s="69"/>
      <c r="L17" s="14"/>
    </row>
    <row r="18" spans="1:12" x14ac:dyDescent="0.25">
      <c r="A18" s="12"/>
      <c r="B18" s="22" t="s">
        <v>28</v>
      </c>
      <c r="C18" s="71"/>
      <c r="D18" s="72" t="s">
        <v>27</v>
      </c>
      <c r="E18" s="25"/>
      <c r="F18" s="25"/>
      <c r="G18" s="25"/>
      <c r="H18" s="25"/>
      <c r="I18" s="25"/>
      <c r="J18" s="13"/>
      <c r="K18" s="69"/>
      <c r="L18" s="14"/>
    </row>
    <row r="19" spans="1:12" x14ac:dyDescent="0.25">
      <c r="A19" s="74" t="s">
        <v>29</v>
      </c>
      <c r="B19" s="31" t="s">
        <v>30</v>
      </c>
      <c r="C19" s="75" t="s">
        <v>31</v>
      </c>
      <c r="D19" s="76">
        <v>431</v>
      </c>
      <c r="E19" s="34">
        <f>SUM(F19:I19)</f>
        <v>6666.4049999999997</v>
      </c>
      <c r="F19" s="35">
        <v>704.23599999999999</v>
      </c>
      <c r="G19" s="35">
        <v>5713.6049999999996</v>
      </c>
      <c r="H19" s="35">
        <v>248.56399999999999</v>
      </c>
      <c r="I19" s="36"/>
      <c r="J19" s="13"/>
      <c r="K19" s="37" t="s">
        <v>32</v>
      </c>
      <c r="L19" s="38" t="s">
        <v>33</v>
      </c>
    </row>
    <row r="20" spans="1:12" x14ac:dyDescent="0.25">
      <c r="A20" s="12"/>
      <c r="B20" s="26"/>
      <c r="C20" s="73" t="s">
        <v>20</v>
      </c>
      <c r="D20" s="28"/>
      <c r="E20" s="28"/>
      <c r="F20" s="28"/>
      <c r="G20" s="28"/>
      <c r="H20" s="28"/>
      <c r="I20" s="29"/>
      <c r="J20" s="13"/>
      <c r="K20" s="69"/>
      <c r="L20" s="14"/>
    </row>
    <row r="21" spans="1:12" x14ac:dyDescent="0.25">
      <c r="A21" s="12"/>
      <c r="B21" s="15" t="s">
        <v>34</v>
      </c>
      <c r="C21" s="67" t="s">
        <v>35</v>
      </c>
      <c r="D21" s="68" t="s">
        <v>36</v>
      </c>
      <c r="E21" s="18">
        <f t="shared" si="0"/>
        <v>2415.5389999999998</v>
      </c>
      <c r="F21" s="18">
        <f>F23+F24+F25</f>
        <v>0</v>
      </c>
      <c r="G21" s="18">
        <f>G22+G24+G25</f>
        <v>0</v>
      </c>
      <c r="H21" s="18">
        <f>H22+H23+H25</f>
        <v>1668.154</v>
      </c>
      <c r="I21" s="18">
        <f>I22+I23+I24</f>
        <v>747.38499999999999</v>
      </c>
      <c r="J21" s="13"/>
      <c r="K21" s="69"/>
      <c r="L21" s="14"/>
    </row>
    <row r="22" spans="1:12" x14ac:dyDescent="0.25">
      <c r="A22" s="12"/>
      <c r="B22" s="15" t="s">
        <v>37</v>
      </c>
      <c r="C22" s="70" t="s">
        <v>7</v>
      </c>
      <c r="D22" s="68" t="s">
        <v>38</v>
      </c>
      <c r="E22" s="18">
        <f t="shared" si="0"/>
        <v>703.072</v>
      </c>
      <c r="F22" s="39"/>
      <c r="G22" s="21"/>
      <c r="H22" s="21">
        <f>F38</f>
        <v>703.072</v>
      </c>
      <c r="I22" s="21"/>
      <c r="J22" s="13"/>
      <c r="K22" s="69"/>
      <c r="L22" s="14"/>
    </row>
    <row r="23" spans="1:12" x14ac:dyDescent="0.25">
      <c r="A23" s="12"/>
      <c r="B23" s="15" t="s">
        <v>39</v>
      </c>
      <c r="C23" s="70" t="s">
        <v>8</v>
      </c>
      <c r="D23" s="68" t="s">
        <v>40</v>
      </c>
      <c r="E23" s="18">
        <f t="shared" si="0"/>
        <v>965.08199999999999</v>
      </c>
      <c r="F23" s="21"/>
      <c r="G23" s="39"/>
      <c r="H23" s="21">
        <f>G19-G27-G41</f>
        <v>965.08199999999999</v>
      </c>
      <c r="I23" s="21"/>
      <c r="J23" s="13"/>
      <c r="K23" s="69"/>
      <c r="L23" s="14"/>
    </row>
    <row r="24" spans="1:12" x14ac:dyDescent="0.25">
      <c r="A24" s="12"/>
      <c r="B24" s="15" t="s">
        <v>41</v>
      </c>
      <c r="C24" s="70" t="s">
        <v>9</v>
      </c>
      <c r="D24" s="68" t="s">
        <v>42</v>
      </c>
      <c r="E24" s="18">
        <f t="shared" si="0"/>
        <v>747.38499999999999</v>
      </c>
      <c r="F24" s="21"/>
      <c r="G24" s="21"/>
      <c r="H24" s="39"/>
      <c r="I24" s="21">
        <f>H17+H21-H41-H27</f>
        <v>747.38499999999999</v>
      </c>
      <c r="J24" s="13"/>
      <c r="K24" s="69"/>
      <c r="L24" s="14"/>
    </row>
    <row r="25" spans="1:12" x14ac:dyDescent="0.25">
      <c r="A25" s="12"/>
      <c r="B25" s="15" t="s">
        <v>43</v>
      </c>
      <c r="C25" s="70" t="s">
        <v>44</v>
      </c>
      <c r="D25" s="68" t="s">
        <v>45</v>
      </c>
      <c r="E25" s="18">
        <f t="shared" si="0"/>
        <v>0</v>
      </c>
      <c r="F25" s="21"/>
      <c r="G25" s="21"/>
      <c r="H25" s="21"/>
      <c r="I25" s="39"/>
      <c r="J25" s="13"/>
      <c r="K25" s="69"/>
      <c r="L25" s="14"/>
    </row>
    <row r="26" spans="1:12" x14ac:dyDescent="0.25">
      <c r="A26" s="12"/>
      <c r="B26" s="15" t="s">
        <v>46</v>
      </c>
      <c r="C26" s="77" t="s">
        <v>47</v>
      </c>
      <c r="D26" s="68" t="s">
        <v>48</v>
      </c>
      <c r="E26" s="18">
        <f t="shared" si="0"/>
        <v>0</v>
      </c>
      <c r="F26" s="21"/>
      <c r="G26" s="21"/>
      <c r="H26" s="21"/>
      <c r="I26" s="21"/>
      <c r="J26" s="13"/>
      <c r="K26" s="69"/>
      <c r="L26" s="14"/>
    </row>
    <row r="27" spans="1:12" x14ac:dyDescent="0.25">
      <c r="A27" s="12"/>
      <c r="B27" s="15" t="s">
        <v>49</v>
      </c>
      <c r="C27" s="67" t="s">
        <v>50</v>
      </c>
      <c r="D27" s="78" t="s">
        <v>51</v>
      </c>
      <c r="E27" s="18">
        <f t="shared" si="0"/>
        <v>6578.4809999999998</v>
      </c>
      <c r="F27" s="18">
        <f>F28+F30+F33+F37</f>
        <v>0</v>
      </c>
      <c r="G27" s="18">
        <f>G28+G30+G33+G37</f>
        <v>4702.8459999999995</v>
      </c>
      <c r="H27" s="18">
        <f>H28+H30+H33+H37</f>
        <v>1156.0530000000001</v>
      </c>
      <c r="I27" s="18">
        <f>I28+I30+I33+I37</f>
        <v>719.58199999999999</v>
      </c>
      <c r="J27" s="13"/>
      <c r="K27" s="69"/>
      <c r="L27" s="14"/>
    </row>
    <row r="28" spans="1:12" x14ac:dyDescent="0.25">
      <c r="A28" s="12"/>
      <c r="B28" s="15" t="s">
        <v>52</v>
      </c>
      <c r="C28" s="70" t="s">
        <v>53</v>
      </c>
      <c r="D28" s="68" t="s">
        <v>54</v>
      </c>
      <c r="E28" s="18">
        <f t="shared" si="0"/>
        <v>0</v>
      </c>
      <c r="F28" s="21"/>
      <c r="G28" s="21"/>
      <c r="H28" s="21"/>
      <c r="I28" s="21"/>
      <c r="J28" s="13"/>
      <c r="K28" s="69"/>
      <c r="L28" s="14"/>
    </row>
    <row r="29" spans="1:12" x14ac:dyDescent="0.25">
      <c r="A29" s="12"/>
      <c r="B29" s="15" t="s">
        <v>55</v>
      </c>
      <c r="C29" s="70" t="s">
        <v>56</v>
      </c>
      <c r="D29" s="68" t="s">
        <v>57</v>
      </c>
      <c r="E29" s="18">
        <f t="shared" si="0"/>
        <v>0</v>
      </c>
      <c r="F29" s="21"/>
      <c r="G29" s="21"/>
      <c r="H29" s="21"/>
      <c r="I29" s="21"/>
      <c r="J29" s="13"/>
      <c r="K29" s="69"/>
      <c r="L29" s="14"/>
    </row>
    <row r="30" spans="1:12" x14ac:dyDescent="0.25">
      <c r="A30" s="12"/>
      <c r="B30" s="15" t="s">
        <v>58</v>
      </c>
      <c r="C30" s="70" t="s">
        <v>59</v>
      </c>
      <c r="D30" s="68" t="s">
        <v>60</v>
      </c>
      <c r="E30" s="18">
        <f t="shared" si="0"/>
        <v>2571.8139999999999</v>
      </c>
      <c r="F30" s="21">
        <v>0</v>
      </c>
      <c r="G30" s="21">
        <v>696.17899999999997</v>
      </c>
      <c r="H30" s="21">
        <v>1156.0530000000001</v>
      </c>
      <c r="I30" s="21">
        <v>719.58199999999999</v>
      </c>
      <c r="J30" s="13"/>
      <c r="K30" s="69"/>
      <c r="L30" s="14"/>
    </row>
    <row r="31" spans="1:12" x14ac:dyDescent="0.25">
      <c r="A31" s="12"/>
      <c r="B31" s="15" t="s">
        <v>61</v>
      </c>
      <c r="C31" s="70" t="s">
        <v>62</v>
      </c>
      <c r="D31" s="68" t="s">
        <v>63</v>
      </c>
      <c r="E31" s="18">
        <f t="shared" si="0"/>
        <v>0</v>
      </c>
      <c r="F31" s="21"/>
      <c r="G31" s="21"/>
      <c r="H31" s="21"/>
      <c r="I31" s="21"/>
      <c r="J31" s="13"/>
      <c r="K31" s="69"/>
      <c r="L31" s="14"/>
    </row>
    <row r="32" spans="1:12" x14ac:dyDescent="0.25">
      <c r="A32" s="12"/>
      <c r="B32" s="15" t="s">
        <v>64</v>
      </c>
      <c r="C32" s="70" t="s">
        <v>56</v>
      </c>
      <c r="D32" s="68" t="s">
        <v>65</v>
      </c>
      <c r="E32" s="18">
        <f t="shared" si="0"/>
        <v>0</v>
      </c>
      <c r="F32" s="21"/>
      <c r="G32" s="21"/>
      <c r="H32" s="21"/>
      <c r="I32" s="21"/>
      <c r="J32" s="13"/>
      <c r="K32" s="69"/>
      <c r="L32" s="14"/>
    </row>
    <row r="33" spans="1:12" x14ac:dyDescent="0.25">
      <c r="A33" s="12"/>
      <c r="B33" s="15" t="s">
        <v>66</v>
      </c>
      <c r="C33" s="70" t="s">
        <v>67</v>
      </c>
      <c r="D33" s="68" t="s">
        <v>68</v>
      </c>
      <c r="E33" s="18">
        <f t="shared" si="0"/>
        <v>4006.6669999999999</v>
      </c>
      <c r="F33" s="18">
        <f>SUM(F34:F36)</f>
        <v>0</v>
      </c>
      <c r="G33" s="18">
        <f>SUM(G34:G36)</f>
        <v>4006.6669999999999</v>
      </c>
      <c r="H33" s="18">
        <f>SUM(H34:H36)</f>
        <v>0</v>
      </c>
      <c r="I33" s="18">
        <f>SUM(I34:I36)</f>
        <v>0</v>
      </c>
      <c r="J33" s="13"/>
      <c r="K33" s="69"/>
      <c r="L33" s="14"/>
    </row>
    <row r="34" spans="1:12" x14ac:dyDescent="0.25">
      <c r="A34" s="12"/>
      <c r="B34" s="22" t="s">
        <v>69</v>
      </c>
      <c r="C34" s="71"/>
      <c r="D34" s="72" t="s">
        <v>68</v>
      </c>
      <c r="E34" s="25"/>
      <c r="F34" s="25"/>
      <c r="G34" s="25"/>
      <c r="H34" s="25"/>
      <c r="I34" s="25"/>
      <c r="J34" s="13"/>
      <c r="K34" s="69"/>
      <c r="L34" s="14"/>
    </row>
    <row r="35" spans="1:12" x14ac:dyDescent="0.25">
      <c r="A35" s="74" t="s">
        <v>29</v>
      </c>
      <c r="B35" s="31" t="s">
        <v>70</v>
      </c>
      <c r="C35" s="75" t="s">
        <v>71</v>
      </c>
      <c r="D35" s="76">
        <v>751</v>
      </c>
      <c r="E35" s="34">
        <f>SUM(F35:I35)</f>
        <v>4006.6669999999999</v>
      </c>
      <c r="F35" s="35"/>
      <c r="G35" s="35">
        <v>4006.6669999999999</v>
      </c>
      <c r="H35" s="35"/>
      <c r="I35" s="36"/>
      <c r="J35" s="13"/>
      <c r="K35" s="37" t="s">
        <v>72</v>
      </c>
      <c r="L35" s="38" t="s">
        <v>73</v>
      </c>
    </row>
    <row r="36" spans="1:12" x14ac:dyDescent="0.25">
      <c r="A36" s="12"/>
      <c r="B36" s="44"/>
      <c r="C36" s="73" t="s">
        <v>20</v>
      </c>
      <c r="D36" s="28"/>
      <c r="E36" s="28"/>
      <c r="F36" s="28"/>
      <c r="G36" s="28"/>
      <c r="H36" s="28"/>
      <c r="I36" s="29"/>
      <c r="J36" s="13"/>
      <c r="K36" s="69"/>
      <c r="L36" s="14"/>
    </row>
    <row r="37" spans="1:12" x14ac:dyDescent="0.25">
      <c r="A37" s="12"/>
      <c r="B37" s="15" t="s">
        <v>74</v>
      </c>
      <c r="C37" s="79" t="s">
        <v>75</v>
      </c>
      <c r="D37" s="68" t="s">
        <v>76</v>
      </c>
      <c r="E37" s="18">
        <f t="shared" si="0"/>
        <v>0</v>
      </c>
      <c r="F37" s="21"/>
      <c r="G37" s="21"/>
      <c r="H37" s="21"/>
      <c r="I37" s="21"/>
      <c r="J37" s="13"/>
      <c r="K37" s="69"/>
      <c r="L37" s="14"/>
    </row>
    <row r="38" spans="1:12" x14ac:dyDescent="0.25">
      <c r="A38" s="12"/>
      <c r="B38" s="15" t="s">
        <v>77</v>
      </c>
      <c r="C38" s="67" t="s">
        <v>78</v>
      </c>
      <c r="D38" s="68" t="s">
        <v>79</v>
      </c>
      <c r="E38" s="18">
        <f t="shared" si="0"/>
        <v>2415.5389999999998</v>
      </c>
      <c r="F38" s="21">
        <f>F19-F41</f>
        <v>703.072</v>
      </c>
      <c r="G38" s="21">
        <f>G9-G27-G41</f>
        <v>965.08199999999999</v>
      </c>
      <c r="H38" s="21">
        <f>H17+H21-H27-H41</f>
        <v>747.38499999999999</v>
      </c>
      <c r="I38" s="21">
        <f>I24-I27-I41</f>
        <v>0</v>
      </c>
      <c r="J38" s="13"/>
      <c r="K38" s="69"/>
      <c r="L38" s="14"/>
    </row>
    <row r="39" spans="1:12" x14ac:dyDescent="0.25">
      <c r="A39" s="12"/>
      <c r="B39" s="15" t="s">
        <v>80</v>
      </c>
      <c r="C39" s="67" t="s">
        <v>81</v>
      </c>
      <c r="D39" s="68" t="s">
        <v>82</v>
      </c>
      <c r="E39" s="18">
        <f t="shared" si="0"/>
        <v>0</v>
      </c>
      <c r="F39" s="21"/>
      <c r="G39" s="21"/>
      <c r="H39" s="21"/>
      <c r="I39" s="21"/>
      <c r="J39" s="13"/>
      <c r="K39" s="69"/>
      <c r="L39" s="14"/>
    </row>
    <row r="40" spans="1:12" x14ac:dyDescent="0.25">
      <c r="A40" s="12"/>
      <c r="B40" s="15" t="s">
        <v>83</v>
      </c>
      <c r="C40" s="67" t="s">
        <v>84</v>
      </c>
      <c r="D40" s="68" t="s">
        <v>85</v>
      </c>
      <c r="E40" s="18">
        <f t="shared" si="0"/>
        <v>0</v>
      </c>
      <c r="F40" s="21"/>
      <c r="G40" s="21"/>
      <c r="H40" s="21"/>
      <c r="I40" s="21"/>
      <c r="J40" s="13"/>
      <c r="K40" s="69"/>
      <c r="L40" s="14"/>
    </row>
    <row r="41" spans="1:12" x14ac:dyDescent="0.25">
      <c r="A41" s="12"/>
      <c r="B41" s="15" t="s">
        <v>86</v>
      </c>
      <c r="C41" s="67" t="s">
        <v>87</v>
      </c>
      <c r="D41" s="68" t="s">
        <v>88</v>
      </c>
      <c r="E41" s="18">
        <f t="shared" si="0"/>
        <v>87.924000000000007</v>
      </c>
      <c r="F41" s="21">
        <v>1.1639999999999999</v>
      </c>
      <c r="G41" s="21">
        <v>45.677</v>
      </c>
      <c r="H41" s="21">
        <v>13.28</v>
      </c>
      <c r="I41" s="21">
        <v>27.803000000000001</v>
      </c>
      <c r="J41" s="13"/>
      <c r="K41" s="69"/>
      <c r="L41" s="14"/>
    </row>
    <row r="42" spans="1:12" x14ac:dyDescent="0.25">
      <c r="A42" s="12"/>
      <c r="B42" s="15" t="s">
        <v>89</v>
      </c>
      <c r="C42" s="70" t="s">
        <v>90</v>
      </c>
      <c r="D42" s="68" t="s">
        <v>91</v>
      </c>
      <c r="E42" s="18">
        <f t="shared" si="0"/>
        <v>0</v>
      </c>
      <c r="F42" s="21"/>
      <c r="G42" s="21"/>
      <c r="H42" s="21"/>
      <c r="I42" s="21"/>
      <c r="J42" s="13"/>
      <c r="K42" s="69"/>
      <c r="L42" s="14"/>
    </row>
    <row r="43" spans="1:12" x14ac:dyDescent="0.25">
      <c r="A43" s="12"/>
      <c r="B43" s="15" t="s">
        <v>92</v>
      </c>
      <c r="C43" s="67" t="s">
        <v>93</v>
      </c>
      <c r="D43" s="68" t="s">
        <v>94</v>
      </c>
      <c r="E43" s="18">
        <f t="shared" si="0"/>
        <v>121</v>
      </c>
      <c r="F43" s="21"/>
      <c r="G43" s="21">
        <v>29.863257365202891</v>
      </c>
      <c r="H43" s="21">
        <v>39.817676486937188</v>
      </c>
      <c r="I43" s="21">
        <v>51.319066147859928</v>
      </c>
      <c r="J43" s="13"/>
      <c r="K43" s="69"/>
      <c r="L43" s="14"/>
    </row>
    <row r="44" spans="1:12" x14ac:dyDescent="0.25">
      <c r="A44" s="12"/>
      <c r="B44" s="15" t="s">
        <v>95</v>
      </c>
      <c r="C44" s="77" t="s">
        <v>96</v>
      </c>
      <c r="D44" s="68" t="s">
        <v>97</v>
      </c>
      <c r="E44" s="18">
        <f t="shared" si="0"/>
        <v>-33.076000000000008</v>
      </c>
      <c r="F44" s="18">
        <f>F41-F43</f>
        <v>1.1639999999999999</v>
      </c>
      <c r="G44" s="18">
        <f>G41-G43</f>
        <v>15.813742634797109</v>
      </c>
      <c r="H44" s="18">
        <f>H41-H43</f>
        <v>-26.537676486937187</v>
      </c>
      <c r="I44" s="18">
        <f>I41-I43</f>
        <v>-23.516066147859927</v>
      </c>
      <c r="J44" s="13"/>
      <c r="K44" s="69"/>
      <c r="L44" s="14"/>
    </row>
    <row r="45" spans="1:12" x14ac:dyDescent="0.25">
      <c r="A45" s="12"/>
      <c r="B45" s="15" t="s">
        <v>98</v>
      </c>
      <c r="C45" s="67" t="s">
        <v>99</v>
      </c>
      <c r="D45" s="68" t="s">
        <v>100</v>
      </c>
      <c r="E45" s="18">
        <f t="shared" si="0"/>
        <v>0</v>
      </c>
      <c r="F45" s="18">
        <f>(F9+F21+F26)-(F27+F38+F39+F40+F41)</f>
        <v>0</v>
      </c>
      <c r="G45" s="18">
        <f>(G9+G21+G26)-(G27+G38+G39+G40+G41)</f>
        <v>0</v>
      </c>
      <c r="H45" s="18">
        <f>(H9+H21+H26)-(H27+H38+H39+H40+H41)</f>
        <v>0</v>
      </c>
      <c r="I45" s="18">
        <f>(I9+I21+I26)-(I27+I38+I39+I40+I41)</f>
        <v>0</v>
      </c>
      <c r="J45" s="13"/>
      <c r="K45" s="69"/>
      <c r="L45" s="14"/>
    </row>
    <row r="46" spans="1:12" x14ac:dyDescent="0.25">
      <c r="A46" s="12"/>
      <c r="B46" s="111" t="s">
        <v>101</v>
      </c>
      <c r="C46" s="112"/>
      <c r="D46" s="112"/>
      <c r="E46" s="112"/>
      <c r="F46" s="112"/>
      <c r="G46" s="112"/>
      <c r="H46" s="112"/>
      <c r="I46" s="113"/>
      <c r="J46" s="13"/>
      <c r="K46" s="69"/>
      <c r="L46" s="14"/>
    </row>
    <row r="47" spans="1:12" x14ac:dyDescent="0.25">
      <c r="A47" s="12"/>
      <c r="B47" s="15" t="s">
        <v>102</v>
      </c>
      <c r="C47" s="67" t="s">
        <v>13</v>
      </c>
      <c r="D47" s="68" t="s">
        <v>103</v>
      </c>
      <c r="E47" s="18">
        <f t="shared" si="0"/>
        <v>8.9602217741935473</v>
      </c>
      <c r="F47" s="18">
        <f>F48+F49+F52+F55</f>
        <v>0.94655376344086017</v>
      </c>
      <c r="G47" s="18">
        <f>G48+G49+G52+G55</f>
        <v>7.679576612903225</v>
      </c>
      <c r="H47" s="18">
        <f>H48+H49+H52+H55</f>
        <v>0.33409139784946235</v>
      </c>
      <c r="I47" s="18">
        <f>I48+I49+I52+I55</f>
        <v>0</v>
      </c>
      <c r="J47" s="13"/>
      <c r="K47" s="69"/>
      <c r="L47" s="14"/>
    </row>
    <row r="48" spans="1:12" x14ac:dyDescent="0.25">
      <c r="A48" s="12"/>
      <c r="B48" s="15" t="s">
        <v>104</v>
      </c>
      <c r="C48" s="70" t="s">
        <v>15</v>
      </c>
      <c r="D48" s="68" t="s">
        <v>105</v>
      </c>
      <c r="E48" s="18">
        <f t="shared" si="0"/>
        <v>0</v>
      </c>
      <c r="F48" s="21"/>
      <c r="G48" s="21"/>
      <c r="H48" s="21"/>
      <c r="I48" s="21"/>
      <c r="J48" s="13"/>
      <c r="K48" s="69"/>
      <c r="L48" s="14"/>
    </row>
    <row r="49" spans="1:12" x14ac:dyDescent="0.25">
      <c r="A49" s="12"/>
      <c r="B49" s="15" t="s">
        <v>106</v>
      </c>
      <c r="C49" s="70" t="s">
        <v>17</v>
      </c>
      <c r="D49" s="68" t="s">
        <v>107</v>
      </c>
      <c r="E49" s="18">
        <f t="shared" si="0"/>
        <v>0</v>
      </c>
      <c r="F49" s="18">
        <f>SUM(F50:F51)</f>
        <v>0</v>
      </c>
      <c r="G49" s="18">
        <f>SUM(G50:G51)</f>
        <v>0</v>
      </c>
      <c r="H49" s="18">
        <f>SUM(H50:H51)</f>
        <v>0</v>
      </c>
      <c r="I49" s="18">
        <f>SUM(I50:I51)</f>
        <v>0</v>
      </c>
      <c r="J49" s="13"/>
      <c r="K49" s="69"/>
      <c r="L49" s="14"/>
    </row>
    <row r="50" spans="1:12" x14ac:dyDescent="0.25">
      <c r="A50" s="12"/>
      <c r="B50" s="22" t="s">
        <v>108</v>
      </c>
      <c r="C50" s="71"/>
      <c r="D50" s="72" t="s">
        <v>107</v>
      </c>
      <c r="E50" s="25"/>
      <c r="F50" s="25"/>
      <c r="G50" s="25"/>
      <c r="H50" s="25"/>
      <c r="I50" s="25"/>
      <c r="J50" s="13"/>
      <c r="K50" s="69"/>
      <c r="L50" s="14"/>
    </row>
    <row r="51" spans="1:12" x14ac:dyDescent="0.25">
      <c r="A51" s="12"/>
      <c r="B51" s="26"/>
      <c r="C51" s="73" t="s">
        <v>20</v>
      </c>
      <c r="D51" s="28"/>
      <c r="E51" s="28"/>
      <c r="F51" s="28"/>
      <c r="G51" s="28"/>
      <c r="H51" s="28"/>
      <c r="I51" s="29"/>
      <c r="J51" s="13"/>
      <c r="K51" s="69"/>
      <c r="L51" s="14"/>
    </row>
    <row r="52" spans="1:12" x14ac:dyDescent="0.25">
      <c r="A52" s="12"/>
      <c r="B52" s="15" t="s">
        <v>109</v>
      </c>
      <c r="C52" s="70" t="s">
        <v>22</v>
      </c>
      <c r="D52" s="68" t="s">
        <v>110</v>
      </c>
      <c r="E52" s="18">
        <f t="shared" si="0"/>
        <v>0</v>
      </c>
      <c r="F52" s="18">
        <f>SUM(F53:F54)</f>
        <v>0</v>
      </c>
      <c r="G52" s="18">
        <f>SUM(G53:G54)</f>
        <v>0</v>
      </c>
      <c r="H52" s="18">
        <f>SUM(H53:H54)</f>
        <v>0</v>
      </c>
      <c r="I52" s="18">
        <f>SUM(I53:I54)</f>
        <v>0</v>
      </c>
      <c r="J52" s="13"/>
      <c r="K52" s="69"/>
      <c r="L52" s="14"/>
    </row>
    <row r="53" spans="1:12" x14ac:dyDescent="0.25">
      <c r="A53" s="12"/>
      <c r="B53" s="22" t="s">
        <v>111</v>
      </c>
      <c r="C53" s="71"/>
      <c r="D53" s="72" t="s">
        <v>110</v>
      </c>
      <c r="E53" s="25"/>
      <c r="F53" s="25"/>
      <c r="G53" s="25"/>
      <c r="H53" s="25"/>
      <c r="I53" s="25"/>
      <c r="J53" s="13"/>
      <c r="K53" s="69"/>
      <c r="L53" s="14"/>
    </row>
    <row r="54" spans="1:12" x14ac:dyDescent="0.25">
      <c r="A54" s="12"/>
      <c r="B54" s="26"/>
      <c r="C54" s="73" t="s">
        <v>20</v>
      </c>
      <c r="D54" s="28"/>
      <c r="E54" s="28"/>
      <c r="F54" s="28"/>
      <c r="G54" s="28"/>
      <c r="H54" s="28"/>
      <c r="I54" s="29"/>
      <c r="J54" s="13"/>
      <c r="K54" s="69"/>
      <c r="L54" s="14"/>
    </row>
    <row r="55" spans="1:12" x14ac:dyDescent="0.25">
      <c r="A55" s="12"/>
      <c r="B55" s="15" t="s">
        <v>112</v>
      </c>
      <c r="C55" s="70" t="s">
        <v>26</v>
      </c>
      <c r="D55" s="68" t="s">
        <v>113</v>
      </c>
      <c r="E55" s="18">
        <f t="shared" si="0"/>
        <v>8.9602217741935473</v>
      </c>
      <c r="F55" s="18">
        <f>SUM(F56:F58)</f>
        <v>0.94655376344086017</v>
      </c>
      <c r="G55" s="18">
        <f>SUM(G56:G58)</f>
        <v>7.679576612903225</v>
      </c>
      <c r="H55" s="18">
        <f>SUM(H56:H58)</f>
        <v>0.33409139784946235</v>
      </c>
      <c r="I55" s="18">
        <f>SUM(I56:I58)</f>
        <v>0</v>
      </c>
      <c r="J55" s="13"/>
      <c r="K55" s="69"/>
      <c r="L55" s="14"/>
    </row>
    <row r="56" spans="1:12" x14ac:dyDescent="0.25">
      <c r="A56" s="12"/>
      <c r="B56" s="22" t="s">
        <v>114</v>
      </c>
      <c r="C56" s="71"/>
      <c r="D56" s="72" t="s">
        <v>113</v>
      </c>
      <c r="E56" s="25"/>
      <c r="F56" s="25"/>
      <c r="G56" s="25"/>
      <c r="H56" s="25"/>
      <c r="I56" s="25"/>
      <c r="J56" s="13"/>
      <c r="K56" s="69"/>
      <c r="L56" s="14"/>
    </row>
    <row r="57" spans="1:12" x14ac:dyDescent="0.25">
      <c r="A57" s="74" t="s">
        <v>29</v>
      </c>
      <c r="B57" s="31" t="s">
        <v>115</v>
      </c>
      <c r="C57" s="75" t="s">
        <v>31</v>
      </c>
      <c r="D57" s="76">
        <v>1461</v>
      </c>
      <c r="E57" s="34">
        <f>SUM(F57:I57)</f>
        <v>8.9602217741935473</v>
      </c>
      <c r="F57" s="35">
        <f>F19/744</f>
        <v>0.94655376344086017</v>
      </c>
      <c r="G57" s="35">
        <f>G19/744</f>
        <v>7.679576612903225</v>
      </c>
      <c r="H57" s="35">
        <f>H19/744</f>
        <v>0.33409139784946235</v>
      </c>
      <c r="I57" s="35"/>
      <c r="J57" s="13"/>
      <c r="K57" s="37" t="s">
        <v>32</v>
      </c>
      <c r="L57" s="38" t="s">
        <v>33</v>
      </c>
    </row>
    <row r="58" spans="1:12" x14ac:dyDescent="0.25">
      <c r="A58" s="12"/>
      <c r="B58" s="26"/>
      <c r="C58" s="73" t="s">
        <v>20</v>
      </c>
      <c r="D58" s="28"/>
      <c r="E58" s="28"/>
      <c r="F58" s="28"/>
      <c r="G58" s="28"/>
      <c r="H58" s="28"/>
      <c r="I58" s="29"/>
      <c r="J58" s="13"/>
      <c r="K58" s="69"/>
      <c r="L58" s="14"/>
    </row>
    <row r="59" spans="1:12" x14ac:dyDescent="0.25">
      <c r="A59" s="12"/>
      <c r="B59" s="15" t="s">
        <v>116</v>
      </c>
      <c r="C59" s="67" t="s">
        <v>35</v>
      </c>
      <c r="D59" s="68" t="s">
        <v>117</v>
      </c>
      <c r="E59" s="18">
        <f t="shared" si="0"/>
        <v>3.2466922043010751</v>
      </c>
      <c r="F59" s="18">
        <f>F61+F62+F63</f>
        <v>0</v>
      </c>
      <c r="G59" s="18">
        <f>G60+G62+G63</f>
        <v>0</v>
      </c>
      <c r="H59" s="18">
        <f>H60+H61+H63</f>
        <v>2.2421424731182795</v>
      </c>
      <c r="I59" s="18">
        <f>I60+I61+I62</f>
        <v>1.0045497311827958</v>
      </c>
      <c r="J59" s="13"/>
      <c r="K59" s="69"/>
      <c r="L59" s="14"/>
    </row>
    <row r="60" spans="1:12" x14ac:dyDescent="0.25">
      <c r="A60" s="12"/>
      <c r="B60" s="15" t="s">
        <v>118</v>
      </c>
      <c r="C60" s="70" t="s">
        <v>7</v>
      </c>
      <c r="D60" s="68" t="s">
        <v>119</v>
      </c>
      <c r="E60" s="18">
        <f t="shared" si="0"/>
        <v>0.94498924731182798</v>
      </c>
      <c r="F60" s="39"/>
      <c r="G60" s="21"/>
      <c r="H60" s="21">
        <f>H22/744</f>
        <v>0.94498924731182798</v>
      </c>
      <c r="I60" s="21"/>
      <c r="J60" s="13"/>
      <c r="K60" s="69"/>
      <c r="L60" s="14"/>
    </row>
    <row r="61" spans="1:12" x14ac:dyDescent="0.25">
      <c r="A61" s="12"/>
      <c r="B61" s="15" t="s">
        <v>120</v>
      </c>
      <c r="C61" s="70" t="s">
        <v>8</v>
      </c>
      <c r="D61" s="68" t="s">
        <v>121</v>
      </c>
      <c r="E61" s="18">
        <f t="shared" si="0"/>
        <v>1.2971532258064515</v>
      </c>
      <c r="F61" s="21"/>
      <c r="G61" s="46"/>
      <c r="H61" s="21">
        <f>H23/744</f>
        <v>1.2971532258064515</v>
      </c>
      <c r="I61" s="21"/>
      <c r="J61" s="13"/>
      <c r="K61" s="69"/>
      <c r="L61" s="14"/>
    </row>
    <row r="62" spans="1:12" x14ac:dyDescent="0.25">
      <c r="A62" s="12"/>
      <c r="B62" s="15" t="s">
        <v>122</v>
      </c>
      <c r="C62" s="70" t="s">
        <v>9</v>
      </c>
      <c r="D62" s="68" t="s">
        <v>123</v>
      </c>
      <c r="E62" s="18">
        <f t="shared" si="0"/>
        <v>1.0045497311827958</v>
      </c>
      <c r="F62" s="21"/>
      <c r="G62" s="21"/>
      <c r="H62" s="39"/>
      <c r="I62" s="21">
        <f>I24/744</f>
        <v>1.0045497311827958</v>
      </c>
      <c r="J62" s="13"/>
      <c r="K62" s="69"/>
      <c r="L62" s="14"/>
    </row>
    <row r="63" spans="1:12" x14ac:dyDescent="0.25">
      <c r="A63" s="12"/>
      <c r="B63" s="15" t="s">
        <v>124</v>
      </c>
      <c r="C63" s="70" t="s">
        <v>44</v>
      </c>
      <c r="D63" s="68" t="s">
        <v>125</v>
      </c>
      <c r="E63" s="18">
        <f t="shared" si="0"/>
        <v>0</v>
      </c>
      <c r="F63" s="21"/>
      <c r="G63" s="21"/>
      <c r="H63" s="21"/>
      <c r="I63" s="39"/>
      <c r="J63" s="13"/>
      <c r="K63" s="69"/>
      <c r="L63" s="14"/>
    </row>
    <row r="64" spans="1:12" x14ac:dyDescent="0.25">
      <c r="A64" s="12"/>
      <c r="B64" s="15" t="s">
        <v>126</v>
      </c>
      <c r="C64" s="77" t="s">
        <v>47</v>
      </c>
      <c r="D64" s="68" t="s">
        <v>127</v>
      </c>
      <c r="E64" s="18">
        <f t="shared" si="0"/>
        <v>0</v>
      </c>
      <c r="F64" s="21"/>
      <c r="G64" s="21"/>
      <c r="H64" s="21"/>
      <c r="I64" s="21"/>
      <c r="J64" s="13"/>
      <c r="K64" s="69"/>
      <c r="L64" s="14"/>
    </row>
    <row r="65" spans="1:12" x14ac:dyDescent="0.25">
      <c r="A65" s="12"/>
      <c r="B65" s="15" t="s">
        <v>128</v>
      </c>
      <c r="C65" s="67" t="s">
        <v>50</v>
      </c>
      <c r="D65" s="78" t="s">
        <v>129</v>
      </c>
      <c r="E65" s="18">
        <f t="shared" si="0"/>
        <v>8.8420443548387109</v>
      </c>
      <c r="F65" s="18">
        <f>F66+F68+F71+F75</f>
        <v>0</v>
      </c>
      <c r="G65" s="18">
        <f>G66+G68+G71+G75</f>
        <v>6.321029569892473</v>
      </c>
      <c r="H65" s="18">
        <f>H66+H68+H71+H75</f>
        <v>1.553834677419355</v>
      </c>
      <c r="I65" s="18">
        <f>I66+I68+I71+I75</f>
        <v>0.96718010752688166</v>
      </c>
      <c r="J65" s="13"/>
      <c r="K65" s="69"/>
      <c r="L65" s="14"/>
    </row>
    <row r="66" spans="1:12" x14ac:dyDescent="0.25">
      <c r="A66" s="12"/>
      <c r="B66" s="15" t="s">
        <v>130</v>
      </c>
      <c r="C66" s="70" t="s">
        <v>53</v>
      </c>
      <c r="D66" s="68" t="s">
        <v>131</v>
      </c>
      <c r="E66" s="18">
        <f t="shared" si="0"/>
        <v>0</v>
      </c>
      <c r="F66" s="21"/>
      <c r="G66" s="21"/>
      <c r="H66" s="21"/>
      <c r="I66" s="21"/>
      <c r="J66" s="13"/>
      <c r="K66" s="69"/>
      <c r="L66" s="14"/>
    </row>
    <row r="67" spans="1:12" x14ac:dyDescent="0.25">
      <c r="A67" s="12"/>
      <c r="B67" s="15" t="s">
        <v>132</v>
      </c>
      <c r="C67" s="70" t="s">
        <v>56</v>
      </c>
      <c r="D67" s="68" t="s">
        <v>133</v>
      </c>
      <c r="E67" s="18">
        <f t="shared" si="0"/>
        <v>0</v>
      </c>
      <c r="F67" s="21"/>
      <c r="G67" s="21"/>
      <c r="H67" s="21"/>
      <c r="I67" s="21"/>
      <c r="J67" s="13"/>
      <c r="K67" s="69"/>
      <c r="L67" s="14"/>
    </row>
    <row r="68" spans="1:12" x14ac:dyDescent="0.25">
      <c r="A68" s="12"/>
      <c r="B68" s="15" t="s">
        <v>134</v>
      </c>
      <c r="C68" s="70" t="s">
        <v>59</v>
      </c>
      <c r="D68" s="68" t="s">
        <v>135</v>
      </c>
      <c r="E68" s="18">
        <f t="shared" si="0"/>
        <v>3.4567392473118277</v>
      </c>
      <c r="F68" s="21"/>
      <c r="G68" s="21">
        <f>G30/744</f>
        <v>0.93572446236559137</v>
      </c>
      <c r="H68" s="21">
        <f>H30/744</f>
        <v>1.553834677419355</v>
      </c>
      <c r="I68" s="21">
        <f>I30/744</f>
        <v>0.96718010752688166</v>
      </c>
      <c r="J68" s="13"/>
      <c r="K68" s="69"/>
      <c r="L68" s="14"/>
    </row>
    <row r="69" spans="1:12" x14ac:dyDescent="0.25">
      <c r="A69" s="12"/>
      <c r="B69" s="15" t="s">
        <v>136</v>
      </c>
      <c r="C69" s="70" t="s">
        <v>62</v>
      </c>
      <c r="D69" s="68" t="s">
        <v>137</v>
      </c>
      <c r="E69" s="18">
        <f t="shared" si="0"/>
        <v>0</v>
      </c>
      <c r="F69" s="21"/>
      <c r="G69" s="21"/>
      <c r="H69" s="21"/>
      <c r="I69" s="21"/>
      <c r="J69" s="13"/>
      <c r="K69" s="69"/>
      <c r="L69" s="14"/>
    </row>
    <row r="70" spans="1:12" x14ac:dyDescent="0.25">
      <c r="A70" s="12"/>
      <c r="B70" s="15" t="s">
        <v>138</v>
      </c>
      <c r="C70" s="70" t="s">
        <v>56</v>
      </c>
      <c r="D70" s="68" t="s">
        <v>139</v>
      </c>
      <c r="E70" s="18">
        <f t="shared" si="0"/>
        <v>0</v>
      </c>
      <c r="F70" s="21"/>
      <c r="G70" s="21"/>
      <c r="H70" s="21"/>
      <c r="I70" s="21"/>
      <c r="J70" s="13"/>
      <c r="K70" s="69"/>
      <c r="L70" s="14"/>
    </row>
    <row r="71" spans="1:12" x14ac:dyDescent="0.25">
      <c r="A71" s="12"/>
      <c r="B71" s="15" t="s">
        <v>140</v>
      </c>
      <c r="C71" s="70" t="s">
        <v>67</v>
      </c>
      <c r="D71" s="68" t="s">
        <v>141</v>
      </c>
      <c r="E71" s="18">
        <f t="shared" si="0"/>
        <v>5.3853051075268814</v>
      </c>
      <c r="F71" s="18">
        <f>SUM(F72:F74)</f>
        <v>0</v>
      </c>
      <c r="G71" s="18">
        <f>SUM(G72:G74)</f>
        <v>5.3853051075268814</v>
      </c>
      <c r="H71" s="18">
        <f>SUM(H72:H74)</f>
        <v>0</v>
      </c>
      <c r="I71" s="18">
        <f>SUM(I72:I74)</f>
        <v>0</v>
      </c>
      <c r="J71" s="13"/>
      <c r="K71" s="69"/>
      <c r="L71" s="14"/>
    </row>
    <row r="72" spans="1:12" x14ac:dyDescent="0.25">
      <c r="A72" s="12"/>
      <c r="B72" s="22" t="s">
        <v>142</v>
      </c>
      <c r="C72" s="71"/>
      <c r="D72" s="72" t="s">
        <v>141</v>
      </c>
      <c r="E72" s="25"/>
      <c r="F72" s="25"/>
      <c r="G72" s="25"/>
      <c r="H72" s="25"/>
      <c r="I72" s="25"/>
      <c r="J72" s="13"/>
      <c r="K72" s="69"/>
      <c r="L72" s="14"/>
    </row>
    <row r="73" spans="1:12" x14ac:dyDescent="0.25">
      <c r="A73" s="74" t="s">
        <v>29</v>
      </c>
      <c r="B73" s="31" t="s">
        <v>143</v>
      </c>
      <c r="C73" s="75" t="s">
        <v>71</v>
      </c>
      <c r="D73" s="76">
        <v>1781</v>
      </c>
      <c r="E73" s="34">
        <f>SUM(F73:I73)</f>
        <v>5.3853051075268814</v>
      </c>
      <c r="F73" s="35"/>
      <c r="G73" s="35">
        <f>G35/744</f>
        <v>5.3853051075268814</v>
      </c>
      <c r="H73" s="35"/>
      <c r="I73" s="36"/>
      <c r="J73" s="13"/>
      <c r="K73" s="37" t="s">
        <v>72</v>
      </c>
      <c r="L73" s="38" t="s">
        <v>73</v>
      </c>
    </row>
    <row r="74" spans="1:12" x14ac:dyDescent="0.25">
      <c r="A74" s="12"/>
      <c r="B74" s="26"/>
      <c r="C74" s="73" t="s">
        <v>20</v>
      </c>
      <c r="D74" s="28"/>
      <c r="E74" s="28"/>
      <c r="F74" s="28"/>
      <c r="G74" s="28"/>
      <c r="H74" s="28"/>
      <c r="I74" s="29"/>
      <c r="J74" s="13"/>
      <c r="K74" s="69"/>
      <c r="L74" s="14"/>
    </row>
    <row r="75" spans="1:12" x14ac:dyDescent="0.25">
      <c r="A75" s="12"/>
      <c r="B75" s="15" t="s">
        <v>144</v>
      </c>
      <c r="C75" s="79" t="s">
        <v>75</v>
      </c>
      <c r="D75" s="68" t="s">
        <v>145</v>
      </c>
      <c r="E75" s="18">
        <f t="shared" si="0"/>
        <v>0</v>
      </c>
      <c r="F75" s="21"/>
      <c r="G75" s="21"/>
      <c r="H75" s="21"/>
      <c r="I75" s="21"/>
      <c r="J75" s="13"/>
      <c r="K75" s="69"/>
      <c r="L75" s="14"/>
    </row>
    <row r="76" spans="1:12" x14ac:dyDescent="0.25">
      <c r="A76" s="12"/>
      <c r="B76" s="15" t="s">
        <v>146</v>
      </c>
      <c r="C76" s="67" t="s">
        <v>78</v>
      </c>
      <c r="D76" s="68" t="s">
        <v>147</v>
      </c>
      <c r="E76" s="18">
        <f t="shared" si="0"/>
        <v>3.2466922043010751</v>
      </c>
      <c r="F76" s="21">
        <f>F38/744</f>
        <v>0.94498924731182798</v>
      </c>
      <c r="G76" s="21">
        <f>G38/744</f>
        <v>1.2971532258064515</v>
      </c>
      <c r="H76" s="21">
        <f>H38/744</f>
        <v>1.0045497311827958</v>
      </c>
      <c r="I76" s="21"/>
      <c r="J76" s="13"/>
      <c r="K76" s="69"/>
      <c r="L76" s="14"/>
    </row>
    <row r="77" spans="1:12" x14ac:dyDescent="0.25">
      <c r="A77" s="12"/>
      <c r="B77" s="15" t="s">
        <v>148</v>
      </c>
      <c r="C77" s="67" t="s">
        <v>81</v>
      </c>
      <c r="D77" s="68" t="s">
        <v>149</v>
      </c>
      <c r="E77" s="18">
        <f t="shared" si="0"/>
        <v>0</v>
      </c>
      <c r="F77" s="21"/>
      <c r="G77" s="21"/>
      <c r="H77" s="21"/>
      <c r="I77" s="21"/>
      <c r="J77" s="13"/>
      <c r="K77" s="69"/>
      <c r="L77" s="14"/>
    </row>
    <row r="78" spans="1:12" x14ac:dyDescent="0.25">
      <c r="A78" s="12"/>
      <c r="B78" s="15" t="s">
        <v>150</v>
      </c>
      <c r="C78" s="67" t="s">
        <v>84</v>
      </c>
      <c r="D78" s="68" t="s">
        <v>151</v>
      </c>
      <c r="E78" s="18">
        <f t="shared" si="0"/>
        <v>0</v>
      </c>
      <c r="F78" s="21"/>
      <c r="G78" s="21"/>
      <c r="H78" s="21"/>
      <c r="I78" s="21"/>
      <c r="J78" s="13"/>
      <c r="K78" s="69"/>
      <c r="L78" s="14"/>
    </row>
    <row r="79" spans="1:12" x14ac:dyDescent="0.25">
      <c r="A79" s="12"/>
      <c r="B79" s="15" t="s">
        <v>152</v>
      </c>
      <c r="C79" s="67" t="s">
        <v>87</v>
      </c>
      <c r="D79" s="68" t="s">
        <v>153</v>
      </c>
      <c r="E79" s="18">
        <f t="shared" si="0"/>
        <v>0.11817741935483871</v>
      </c>
      <c r="F79" s="21">
        <f>F41/744</f>
        <v>1.5645161290322579E-3</v>
      </c>
      <c r="G79" s="21">
        <f>G41/744</f>
        <v>6.1393817204301072E-2</v>
      </c>
      <c r="H79" s="21">
        <f>H41/744</f>
        <v>1.7849462365591397E-2</v>
      </c>
      <c r="I79" s="21">
        <f>I41/744</f>
        <v>3.736962365591398E-2</v>
      </c>
      <c r="J79" s="13"/>
      <c r="K79" s="69"/>
      <c r="L79" s="14"/>
    </row>
    <row r="80" spans="1:12" x14ac:dyDescent="0.25">
      <c r="A80" s="12"/>
      <c r="B80" s="15" t="s">
        <v>154</v>
      </c>
      <c r="C80" s="70" t="s">
        <v>155</v>
      </c>
      <c r="D80" s="68" t="s">
        <v>156</v>
      </c>
      <c r="E80" s="18">
        <f t="shared" si="0"/>
        <v>0</v>
      </c>
      <c r="F80" s="21"/>
      <c r="G80" s="21"/>
      <c r="H80" s="21"/>
      <c r="I80" s="21"/>
      <c r="J80" s="13"/>
      <c r="K80" s="69"/>
      <c r="L80" s="14"/>
    </row>
    <row r="81" spans="1:12" x14ac:dyDescent="0.25">
      <c r="A81" s="12"/>
      <c r="B81" s="15" t="s">
        <v>157</v>
      </c>
      <c r="C81" s="67" t="s">
        <v>93</v>
      </c>
      <c r="D81" s="68" t="s">
        <v>158</v>
      </c>
      <c r="E81" s="18">
        <f t="shared" si="0"/>
        <v>0.16263440860215056</v>
      </c>
      <c r="F81" s="21"/>
      <c r="G81" s="21">
        <f>G43/744</f>
        <v>4.0138786781186681E-2</v>
      </c>
      <c r="H81" s="21">
        <f>H43/744</f>
        <v>5.3518382374915574E-2</v>
      </c>
      <c r="I81" s="21">
        <f>I43/744</f>
        <v>6.8977239446048291E-2</v>
      </c>
      <c r="J81" s="13"/>
      <c r="K81" s="69"/>
      <c r="L81" s="14"/>
    </row>
    <row r="82" spans="1:12" x14ac:dyDescent="0.25">
      <c r="A82" s="12"/>
      <c r="B82" s="15" t="s">
        <v>159</v>
      </c>
      <c r="C82" s="77" t="s">
        <v>96</v>
      </c>
      <c r="D82" s="68" t="s">
        <v>160</v>
      </c>
      <c r="E82" s="18">
        <f t="shared" si="0"/>
        <v>-4.4456989247311833E-2</v>
      </c>
      <c r="F82" s="18">
        <f>F79-F81</f>
        <v>1.5645161290322579E-3</v>
      </c>
      <c r="G82" s="18">
        <f>G79-G81</f>
        <v>2.1255030423114392E-2</v>
      </c>
      <c r="H82" s="18">
        <f>H79-H81</f>
        <v>-3.5668920009324173E-2</v>
      </c>
      <c r="I82" s="18">
        <f>I79-I81</f>
        <v>-3.1607615790134311E-2</v>
      </c>
      <c r="J82" s="13"/>
      <c r="K82" s="69"/>
      <c r="L82" s="14"/>
    </row>
    <row r="83" spans="1:12" x14ac:dyDescent="0.25">
      <c r="A83" s="12"/>
      <c r="B83" s="15" t="s">
        <v>161</v>
      </c>
      <c r="C83" s="67" t="s">
        <v>99</v>
      </c>
      <c r="D83" s="68" t="s">
        <v>162</v>
      </c>
      <c r="E83" s="18">
        <f t="shared" si="0"/>
        <v>0</v>
      </c>
      <c r="F83" s="18">
        <f>(F47+F59+F64)-(F65+F76+F77+F78+F79)</f>
        <v>0</v>
      </c>
      <c r="G83" s="18">
        <f>(G47+G59+G64)-(G65+G76+G77+G78+G79)</f>
        <v>0</v>
      </c>
      <c r="H83" s="18">
        <f>(H47+H59+H64)-(H65+H76+H77+H78+H79)</f>
        <v>0</v>
      </c>
      <c r="I83" s="18">
        <f>(I47+I59+I64)-(I65+I76+I77+I78+I79)</f>
        <v>0</v>
      </c>
      <c r="J83" s="13"/>
      <c r="K83" s="69"/>
      <c r="L83" s="14"/>
    </row>
    <row r="84" spans="1:12" x14ac:dyDescent="0.25">
      <c r="A84" s="12"/>
      <c r="B84" s="111" t="s">
        <v>163</v>
      </c>
      <c r="C84" s="112"/>
      <c r="D84" s="112"/>
      <c r="E84" s="112"/>
      <c r="F84" s="112"/>
      <c r="G84" s="112"/>
      <c r="H84" s="112"/>
      <c r="I84" s="113"/>
      <c r="J84" s="13"/>
      <c r="K84" s="69"/>
      <c r="L84" s="14"/>
    </row>
    <row r="85" spans="1:12" x14ac:dyDescent="0.25">
      <c r="A85" s="12"/>
      <c r="B85" s="15" t="s">
        <v>164</v>
      </c>
      <c r="C85" s="67" t="s">
        <v>165</v>
      </c>
      <c r="D85" s="68" t="s">
        <v>166</v>
      </c>
      <c r="E85" s="18">
        <f t="shared" si="0"/>
        <v>0</v>
      </c>
      <c r="F85" s="21"/>
      <c r="G85" s="21"/>
      <c r="H85" s="21"/>
      <c r="I85" s="21"/>
      <c r="J85" s="13"/>
      <c r="K85" s="69"/>
      <c r="L85" s="14"/>
    </row>
    <row r="86" spans="1:12" x14ac:dyDescent="0.25">
      <c r="A86" s="12"/>
      <c r="B86" s="15" t="s">
        <v>167</v>
      </c>
      <c r="C86" s="67" t="s">
        <v>168</v>
      </c>
      <c r="D86" s="68" t="s">
        <v>169</v>
      </c>
      <c r="E86" s="18">
        <f t="shared" si="0"/>
        <v>25.006</v>
      </c>
      <c r="F86" s="21"/>
      <c r="G86" s="21">
        <v>25.006</v>
      </c>
      <c r="H86" s="21"/>
      <c r="I86" s="21"/>
      <c r="J86" s="13"/>
      <c r="K86" s="69"/>
      <c r="L86" s="14"/>
    </row>
    <row r="87" spans="1:12" x14ac:dyDescent="0.25">
      <c r="A87" s="12"/>
      <c r="B87" s="15" t="s">
        <v>170</v>
      </c>
      <c r="C87" s="67" t="s">
        <v>171</v>
      </c>
      <c r="D87" s="68" t="s">
        <v>172</v>
      </c>
      <c r="E87" s="18">
        <f t="shared" si="0"/>
        <v>0</v>
      </c>
      <c r="F87" s="21"/>
      <c r="G87" s="21"/>
      <c r="H87" s="21"/>
      <c r="I87" s="21"/>
      <c r="J87" s="13"/>
      <c r="K87" s="69"/>
      <c r="L87" s="14"/>
    </row>
    <row r="88" spans="1:12" x14ac:dyDescent="0.25">
      <c r="A88" s="12"/>
      <c r="B88" s="111" t="s">
        <v>173</v>
      </c>
      <c r="C88" s="112"/>
      <c r="D88" s="112"/>
      <c r="E88" s="112"/>
      <c r="F88" s="112"/>
      <c r="G88" s="112"/>
      <c r="H88" s="112"/>
      <c r="I88" s="113"/>
      <c r="J88" s="13"/>
      <c r="K88" s="69"/>
      <c r="L88" s="14"/>
    </row>
    <row r="89" spans="1:12" x14ac:dyDescent="0.25">
      <c r="A89" s="12"/>
      <c r="B89" s="15" t="s">
        <v>174</v>
      </c>
      <c r="C89" s="67" t="s">
        <v>175</v>
      </c>
      <c r="D89" s="68" t="s">
        <v>176</v>
      </c>
      <c r="E89" s="18">
        <f t="shared" si="0"/>
        <v>0</v>
      </c>
      <c r="F89" s="18">
        <f>SUM(F90:F91)</f>
        <v>0</v>
      </c>
      <c r="G89" s="18">
        <f>SUM(G90:G91)</f>
        <v>0</v>
      </c>
      <c r="H89" s="18">
        <f>SUM(H90:H91)</f>
        <v>0</v>
      </c>
      <c r="I89" s="18">
        <f>SUM(I90:I91)</f>
        <v>0</v>
      </c>
      <c r="J89" s="13"/>
      <c r="K89" s="69"/>
      <c r="L89" s="14"/>
    </row>
    <row r="90" spans="1:12" x14ac:dyDescent="0.25">
      <c r="A90" s="2"/>
      <c r="B90" s="47" t="s">
        <v>177</v>
      </c>
      <c r="C90" s="70" t="s">
        <v>178</v>
      </c>
      <c r="D90" s="68" t="s">
        <v>179</v>
      </c>
      <c r="E90" s="18">
        <f t="shared" si="0"/>
        <v>0</v>
      </c>
      <c r="F90" s="48"/>
      <c r="G90" s="48"/>
      <c r="H90" s="48"/>
      <c r="I90" s="48"/>
      <c r="J90" s="8"/>
      <c r="K90" s="69"/>
      <c r="L90" s="1"/>
    </row>
    <row r="91" spans="1:12" x14ac:dyDescent="0.25">
      <c r="A91" s="2"/>
      <c r="B91" s="47" t="s">
        <v>180</v>
      </c>
      <c r="C91" s="70" t="s">
        <v>181</v>
      </c>
      <c r="D91" s="68" t="s">
        <v>182</v>
      </c>
      <c r="E91" s="18">
        <f t="shared" si="0"/>
        <v>0</v>
      </c>
      <c r="F91" s="49">
        <f>F94</f>
        <v>0</v>
      </c>
      <c r="G91" s="49">
        <f>G94</f>
        <v>0</v>
      </c>
      <c r="H91" s="49">
        <f>H94</f>
        <v>0</v>
      </c>
      <c r="I91" s="49">
        <f>I94</f>
        <v>0</v>
      </c>
      <c r="J91" s="8"/>
      <c r="K91" s="69"/>
      <c r="L91" s="1"/>
    </row>
    <row r="92" spans="1:12" x14ac:dyDescent="0.25">
      <c r="A92" s="2"/>
      <c r="B92" s="47" t="s">
        <v>183</v>
      </c>
      <c r="C92" s="70" t="s">
        <v>184</v>
      </c>
      <c r="D92" s="68" t="s">
        <v>185</v>
      </c>
      <c r="E92" s="18">
        <f t="shared" si="0"/>
        <v>0</v>
      </c>
      <c r="F92" s="48"/>
      <c r="G92" s="48"/>
      <c r="H92" s="48"/>
      <c r="I92" s="48"/>
      <c r="J92" s="8"/>
      <c r="K92" s="69"/>
      <c r="L92" s="1"/>
    </row>
    <row r="93" spans="1:12" x14ac:dyDescent="0.25">
      <c r="A93" s="2"/>
      <c r="B93" s="47" t="s">
        <v>186</v>
      </c>
      <c r="C93" s="70" t="s">
        <v>187</v>
      </c>
      <c r="D93" s="68" t="s">
        <v>188</v>
      </c>
      <c r="E93" s="18">
        <f t="shared" si="0"/>
        <v>0</v>
      </c>
      <c r="F93" s="48"/>
      <c r="G93" s="48"/>
      <c r="H93" s="48"/>
      <c r="I93" s="48"/>
      <c r="J93" s="8"/>
      <c r="K93" s="69"/>
      <c r="L93" s="1"/>
    </row>
    <row r="94" spans="1:12" x14ac:dyDescent="0.25">
      <c r="A94" s="2"/>
      <c r="B94" s="47" t="s">
        <v>189</v>
      </c>
      <c r="C94" s="70" t="s">
        <v>190</v>
      </c>
      <c r="D94" s="68" t="s">
        <v>191</v>
      </c>
      <c r="E94" s="18">
        <f t="shared" si="0"/>
        <v>0</v>
      </c>
      <c r="F94" s="48"/>
      <c r="G94" s="48"/>
      <c r="H94" s="48"/>
      <c r="I94" s="48"/>
      <c r="J94" s="8"/>
      <c r="K94" s="69"/>
      <c r="L94" s="1"/>
    </row>
    <row r="95" spans="1:12" x14ac:dyDescent="0.25">
      <c r="A95" s="2"/>
      <c r="B95" s="47" t="s">
        <v>192</v>
      </c>
      <c r="C95" s="67" t="s">
        <v>193</v>
      </c>
      <c r="D95" s="68" t="s">
        <v>194</v>
      </c>
      <c r="E95" s="18">
        <f t="shared" si="0"/>
        <v>0</v>
      </c>
      <c r="F95" s="49">
        <f>F96+F112</f>
        <v>0</v>
      </c>
      <c r="G95" s="49">
        <f>G96+G112</f>
        <v>0</v>
      </c>
      <c r="H95" s="49">
        <f>H96+H112</f>
        <v>0</v>
      </c>
      <c r="I95" s="49">
        <f>I96+I112</f>
        <v>0</v>
      </c>
      <c r="J95" s="8"/>
      <c r="K95" s="69"/>
      <c r="L95" s="1"/>
    </row>
    <row r="96" spans="1:12" x14ac:dyDescent="0.25">
      <c r="A96" s="2"/>
      <c r="B96" s="47" t="s">
        <v>195</v>
      </c>
      <c r="C96" s="70" t="s">
        <v>196</v>
      </c>
      <c r="D96" s="68" t="s">
        <v>197</v>
      </c>
      <c r="E96" s="18">
        <f t="shared" si="0"/>
        <v>0</v>
      </c>
      <c r="F96" s="49">
        <f>F97+F98</f>
        <v>0</v>
      </c>
      <c r="G96" s="49">
        <f>G97+G98</f>
        <v>0</v>
      </c>
      <c r="H96" s="49">
        <f>H97+H98</f>
        <v>0</v>
      </c>
      <c r="I96" s="49">
        <f>I97+I98</f>
        <v>0</v>
      </c>
      <c r="J96" s="8"/>
      <c r="K96" s="69"/>
      <c r="L96" s="1"/>
    </row>
    <row r="97" spans="1:12" x14ac:dyDescent="0.25">
      <c r="A97" s="2"/>
      <c r="B97" s="47" t="s">
        <v>198</v>
      </c>
      <c r="C97" s="70" t="s">
        <v>199</v>
      </c>
      <c r="D97" s="68" t="s">
        <v>200</v>
      </c>
      <c r="E97" s="18">
        <f t="shared" si="0"/>
        <v>0</v>
      </c>
      <c r="F97" s="48"/>
      <c r="G97" s="48"/>
      <c r="H97" s="48"/>
      <c r="I97" s="48"/>
      <c r="J97" s="8"/>
      <c r="K97" s="69"/>
      <c r="L97" s="1"/>
    </row>
    <row r="98" spans="1:12" x14ac:dyDescent="0.25">
      <c r="A98" s="2"/>
      <c r="B98" s="47" t="s">
        <v>201</v>
      </c>
      <c r="C98" s="70" t="s">
        <v>202</v>
      </c>
      <c r="D98" s="68" t="s">
        <v>203</v>
      </c>
      <c r="E98" s="18">
        <f t="shared" si="0"/>
        <v>0</v>
      </c>
      <c r="F98" s="49">
        <f>F99+F102+F105+F108+F109+F110+F111</f>
        <v>0</v>
      </c>
      <c r="G98" s="49">
        <f>G99+G102+G105+G108+G109+G110+G111</f>
        <v>0</v>
      </c>
      <c r="H98" s="49">
        <f>H99+H102+H105+H108+H109+H110+H111</f>
        <v>0</v>
      </c>
      <c r="I98" s="49">
        <f>I99+I102+I105+I108+I109+I110+I111</f>
        <v>0</v>
      </c>
      <c r="J98" s="8"/>
      <c r="K98" s="69"/>
      <c r="L98" s="1"/>
    </row>
    <row r="99" spans="1:12" x14ac:dyDescent="0.25">
      <c r="A99" s="2"/>
      <c r="B99" s="47" t="s">
        <v>204</v>
      </c>
      <c r="C99" s="70" t="s">
        <v>205</v>
      </c>
      <c r="D99" s="68" t="s">
        <v>206</v>
      </c>
      <c r="E99" s="18">
        <f t="shared" si="0"/>
        <v>0</v>
      </c>
      <c r="F99" s="50">
        <f>F100+F101</f>
        <v>0</v>
      </c>
      <c r="G99" s="50">
        <f>G100+G101</f>
        <v>0</v>
      </c>
      <c r="H99" s="50">
        <f>H100+H101</f>
        <v>0</v>
      </c>
      <c r="I99" s="50">
        <f>I100+I101</f>
        <v>0</v>
      </c>
      <c r="J99" s="8"/>
      <c r="K99" s="69"/>
      <c r="L99" s="1"/>
    </row>
    <row r="100" spans="1:12" x14ac:dyDescent="0.25">
      <c r="A100" s="2"/>
      <c r="B100" s="47" t="s">
        <v>207</v>
      </c>
      <c r="C100" s="70" t="s">
        <v>208</v>
      </c>
      <c r="D100" s="68" t="s">
        <v>209</v>
      </c>
      <c r="E100" s="18">
        <f t="shared" si="0"/>
        <v>0</v>
      </c>
      <c r="F100" s="48"/>
      <c r="G100" s="48"/>
      <c r="H100" s="48"/>
      <c r="I100" s="48"/>
      <c r="J100" s="8"/>
      <c r="K100" s="69"/>
      <c r="L100" s="1"/>
    </row>
    <row r="101" spans="1:12" x14ac:dyDescent="0.25">
      <c r="A101" s="2"/>
      <c r="B101" s="47" t="s">
        <v>210</v>
      </c>
      <c r="C101" s="70" t="s">
        <v>211</v>
      </c>
      <c r="D101" s="68" t="s">
        <v>212</v>
      </c>
      <c r="E101" s="18">
        <f t="shared" si="0"/>
        <v>0</v>
      </c>
      <c r="F101" s="48"/>
      <c r="G101" s="48"/>
      <c r="H101" s="48"/>
      <c r="I101" s="48"/>
      <c r="J101" s="8"/>
      <c r="K101" s="69"/>
      <c r="L101" s="1"/>
    </row>
    <row r="102" spans="1:12" x14ac:dyDescent="0.25">
      <c r="A102" s="2"/>
      <c r="B102" s="47" t="s">
        <v>213</v>
      </c>
      <c r="C102" s="70" t="s">
        <v>214</v>
      </c>
      <c r="D102" s="68" t="s">
        <v>215</v>
      </c>
      <c r="E102" s="18">
        <f t="shared" si="0"/>
        <v>0</v>
      </c>
      <c r="F102" s="50">
        <f>F103+F104</f>
        <v>0</v>
      </c>
      <c r="G102" s="50">
        <f>G103+G104</f>
        <v>0</v>
      </c>
      <c r="H102" s="50">
        <f>H103+H104</f>
        <v>0</v>
      </c>
      <c r="I102" s="50">
        <f>I103+I104</f>
        <v>0</v>
      </c>
      <c r="J102" s="8"/>
      <c r="K102" s="69"/>
      <c r="L102" s="1"/>
    </row>
    <row r="103" spans="1:12" x14ac:dyDescent="0.25">
      <c r="A103" s="2"/>
      <c r="B103" s="47" t="s">
        <v>216</v>
      </c>
      <c r="C103" s="70" t="s">
        <v>208</v>
      </c>
      <c r="D103" s="68" t="s">
        <v>217</v>
      </c>
      <c r="E103" s="18">
        <f t="shared" si="0"/>
        <v>0</v>
      </c>
      <c r="F103" s="48"/>
      <c r="G103" s="48"/>
      <c r="H103" s="48"/>
      <c r="I103" s="48"/>
      <c r="J103" s="8"/>
      <c r="K103" s="69"/>
      <c r="L103" s="1"/>
    </row>
    <row r="104" spans="1:12" x14ac:dyDescent="0.25">
      <c r="A104" s="2"/>
      <c r="B104" s="47" t="s">
        <v>218</v>
      </c>
      <c r="C104" s="70" t="s">
        <v>211</v>
      </c>
      <c r="D104" s="68" t="s">
        <v>219</v>
      </c>
      <c r="E104" s="18">
        <f t="shared" si="0"/>
        <v>0</v>
      </c>
      <c r="F104" s="48"/>
      <c r="G104" s="48"/>
      <c r="H104" s="48"/>
      <c r="I104" s="48"/>
      <c r="J104" s="8"/>
      <c r="K104" s="69"/>
      <c r="L104" s="1"/>
    </row>
    <row r="105" spans="1:12" x14ac:dyDescent="0.25">
      <c r="A105" s="2"/>
      <c r="B105" s="47" t="s">
        <v>220</v>
      </c>
      <c r="C105" s="70" t="s">
        <v>221</v>
      </c>
      <c r="D105" s="68" t="s">
        <v>222</v>
      </c>
      <c r="E105" s="18">
        <f t="shared" si="0"/>
        <v>0</v>
      </c>
      <c r="F105" s="50">
        <f>F106+F107</f>
        <v>0</v>
      </c>
      <c r="G105" s="50">
        <f>G106+G107</f>
        <v>0</v>
      </c>
      <c r="H105" s="50">
        <f>H106+H107</f>
        <v>0</v>
      </c>
      <c r="I105" s="50">
        <f>I106+I107</f>
        <v>0</v>
      </c>
      <c r="J105" s="8"/>
      <c r="K105" s="69"/>
      <c r="L105" s="1"/>
    </row>
    <row r="106" spans="1:12" x14ac:dyDescent="0.25">
      <c r="A106" s="2"/>
      <c r="B106" s="47" t="s">
        <v>223</v>
      </c>
      <c r="C106" s="70" t="s">
        <v>208</v>
      </c>
      <c r="D106" s="68" t="s">
        <v>224</v>
      </c>
      <c r="E106" s="18">
        <f t="shared" si="0"/>
        <v>0</v>
      </c>
      <c r="F106" s="48"/>
      <c r="G106" s="48"/>
      <c r="H106" s="48"/>
      <c r="I106" s="48"/>
      <c r="J106" s="8"/>
      <c r="K106" s="69"/>
      <c r="L106" s="1"/>
    </row>
    <row r="107" spans="1:12" x14ac:dyDescent="0.25">
      <c r="A107" s="2"/>
      <c r="B107" s="47" t="s">
        <v>225</v>
      </c>
      <c r="C107" s="70" t="s">
        <v>211</v>
      </c>
      <c r="D107" s="68" t="s">
        <v>226</v>
      </c>
      <c r="E107" s="18">
        <f t="shared" si="0"/>
        <v>0</v>
      </c>
      <c r="F107" s="48"/>
      <c r="G107" s="48"/>
      <c r="H107" s="48"/>
      <c r="I107" s="48"/>
      <c r="J107" s="8"/>
      <c r="K107" s="69"/>
      <c r="L107" s="1"/>
    </row>
    <row r="108" spans="1:12" x14ac:dyDescent="0.25">
      <c r="A108" s="2"/>
      <c r="B108" s="47" t="s">
        <v>227</v>
      </c>
      <c r="C108" s="70" t="s">
        <v>228</v>
      </c>
      <c r="D108" s="68" t="s">
        <v>229</v>
      </c>
      <c r="E108" s="18">
        <f t="shared" si="0"/>
        <v>0</v>
      </c>
      <c r="F108" s="48"/>
      <c r="G108" s="48"/>
      <c r="H108" s="48"/>
      <c r="I108" s="48"/>
      <c r="J108" s="8"/>
      <c r="K108" s="69"/>
      <c r="L108" s="1"/>
    </row>
    <row r="109" spans="1:12" x14ac:dyDescent="0.25">
      <c r="A109" s="2"/>
      <c r="B109" s="47" t="s">
        <v>230</v>
      </c>
      <c r="C109" s="70" t="s">
        <v>231</v>
      </c>
      <c r="D109" s="68" t="s">
        <v>232</v>
      </c>
      <c r="E109" s="18">
        <f t="shared" si="0"/>
        <v>0</v>
      </c>
      <c r="F109" s="48"/>
      <c r="G109" s="48"/>
      <c r="H109" s="48"/>
      <c r="I109" s="48"/>
      <c r="J109" s="8"/>
      <c r="K109" s="69"/>
      <c r="L109" s="1"/>
    </row>
    <row r="110" spans="1:12" x14ac:dyDescent="0.25">
      <c r="A110" s="2"/>
      <c r="B110" s="47" t="s">
        <v>233</v>
      </c>
      <c r="C110" s="70" t="s">
        <v>234</v>
      </c>
      <c r="D110" s="68" t="s">
        <v>235</v>
      </c>
      <c r="E110" s="18">
        <f t="shared" si="0"/>
        <v>0</v>
      </c>
      <c r="F110" s="48"/>
      <c r="G110" s="48"/>
      <c r="H110" s="48"/>
      <c r="I110" s="48"/>
      <c r="J110" s="8"/>
      <c r="K110" s="69"/>
      <c r="L110" s="1"/>
    </row>
    <row r="111" spans="1:12" x14ac:dyDescent="0.25">
      <c r="A111" s="2"/>
      <c r="B111" s="47" t="s">
        <v>236</v>
      </c>
      <c r="C111" s="70" t="s">
        <v>237</v>
      </c>
      <c r="D111" s="68" t="s">
        <v>238</v>
      </c>
      <c r="E111" s="18">
        <f t="shared" si="0"/>
        <v>0</v>
      </c>
      <c r="F111" s="48"/>
      <c r="G111" s="48"/>
      <c r="H111" s="48"/>
      <c r="I111" s="48"/>
      <c r="J111" s="8"/>
      <c r="K111" s="69"/>
      <c r="L111" s="1"/>
    </row>
    <row r="112" spans="1:12" x14ac:dyDescent="0.25">
      <c r="A112" s="2"/>
      <c r="B112" s="47" t="s">
        <v>239</v>
      </c>
      <c r="C112" s="70" t="s">
        <v>240</v>
      </c>
      <c r="D112" s="68" t="s">
        <v>241</v>
      </c>
      <c r="E112" s="18">
        <f t="shared" si="0"/>
        <v>0</v>
      </c>
      <c r="F112" s="49">
        <f>F115</f>
        <v>0</v>
      </c>
      <c r="G112" s="49">
        <f>G115</f>
        <v>0</v>
      </c>
      <c r="H112" s="49">
        <f>H115</f>
        <v>0</v>
      </c>
      <c r="I112" s="49">
        <f>I115</f>
        <v>0</v>
      </c>
      <c r="J112" s="8"/>
      <c r="K112" s="69"/>
      <c r="L112" s="1"/>
    </row>
    <row r="113" spans="1:12" x14ac:dyDescent="0.25">
      <c r="A113" s="2"/>
      <c r="B113" s="47" t="s">
        <v>242</v>
      </c>
      <c r="C113" s="70" t="s">
        <v>184</v>
      </c>
      <c r="D113" s="68" t="s">
        <v>243</v>
      </c>
      <c r="E113" s="18">
        <f t="shared" si="0"/>
        <v>0</v>
      </c>
      <c r="F113" s="48"/>
      <c r="G113" s="48"/>
      <c r="H113" s="48"/>
      <c r="I113" s="48"/>
      <c r="J113" s="8"/>
      <c r="K113" s="69"/>
      <c r="L113" s="1"/>
    </row>
    <row r="114" spans="1:12" x14ac:dyDescent="0.25">
      <c r="A114" s="2"/>
      <c r="B114" s="47" t="s">
        <v>244</v>
      </c>
      <c r="C114" s="70" t="s">
        <v>245</v>
      </c>
      <c r="D114" s="68" t="s">
        <v>246</v>
      </c>
      <c r="E114" s="18">
        <f t="shared" si="0"/>
        <v>0</v>
      </c>
      <c r="F114" s="48"/>
      <c r="G114" s="48"/>
      <c r="H114" s="48"/>
      <c r="I114" s="48"/>
      <c r="J114" s="8"/>
      <c r="K114" s="69"/>
      <c r="L114" s="1"/>
    </row>
    <row r="115" spans="1:12" x14ac:dyDescent="0.25">
      <c r="A115" s="2"/>
      <c r="B115" s="47" t="s">
        <v>247</v>
      </c>
      <c r="C115" s="70" t="s">
        <v>190</v>
      </c>
      <c r="D115" s="68" t="s">
        <v>248</v>
      </c>
      <c r="E115" s="18">
        <f t="shared" si="0"/>
        <v>0</v>
      </c>
      <c r="F115" s="48"/>
      <c r="G115" s="48"/>
      <c r="H115" s="48"/>
      <c r="I115" s="48"/>
      <c r="J115" s="8"/>
      <c r="K115" s="69"/>
      <c r="L115" s="1"/>
    </row>
    <row r="116" spans="1:12" x14ac:dyDescent="0.25">
      <c r="A116" s="2"/>
      <c r="B116" s="47" t="s">
        <v>249</v>
      </c>
      <c r="C116" s="77" t="s">
        <v>250</v>
      </c>
      <c r="D116" s="68" t="s">
        <v>251</v>
      </c>
      <c r="E116" s="18">
        <f t="shared" si="0"/>
        <v>6666.4049999999997</v>
      </c>
      <c r="F116" s="49">
        <f>SUM(F117:F118)</f>
        <v>0</v>
      </c>
      <c r="G116" s="49">
        <f>SUM(G117:G118)</f>
        <v>4790.7699999999995</v>
      </c>
      <c r="H116" s="49">
        <f>SUM(H117:H118)</f>
        <v>1156.0530000000001</v>
      </c>
      <c r="I116" s="49">
        <f>SUM(I117:I118)</f>
        <v>719.58199999999999</v>
      </c>
      <c r="J116" s="8"/>
      <c r="K116" s="69"/>
      <c r="L116" s="1"/>
    </row>
    <row r="117" spans="1:12" x14ac:dyDescent="0.25">
      <c r="A117" s="2"/>
      <c r="B117" s="47" t="s">
        <v>252</v>
      </c>
      <c r="C117" s="70" t="s">
        <v>178</v>
      </c>
      <c r="D117" s="68" t="s">
        <v>253</v>
      </c>
      <c r="E117" s="18">
        <f t="shared" si="0"/>
        <v>0</v>
      </c>
      <c r="F117" s="48"/>
      <c r="G117" s="48"/>
      <c r="H117" s="48"/>
      <c r="I117" s="48"/>
      <c r="J117" s="8"/>
      <c r="K117" s="69"/>
      <c r="L117" s="1"/>
    </row>
    <row r="118" spans="1:12" x14ac:dyDescent="0.25">
      <c r="A118" s="2"/>
      <c r="B118" s="47" t="s">
        <v>254</v>
      </c>
      <c r="C118" s="70" t="s">
        <v>181</v>
      </c>
      <c r="D118" s="68" t="s">
        <v>255</v>
      </c>
      <c r="E118" s="18">
        <f t="shared" si="0"/>
        <v>6666.4049999999997</v>
      </c>
      <c r="F118" s="49">
        <f>F120</f>
        <v>0</v>
      </c>
      <c r="G118" s="49">
        <f>G120</f>
        <v>4790.7699999999995</v>
      </c>
      <c r="H118" s="49">
        <f>H120</f>
        <v>1156.0530000000001</v>
      </c>
      <c r="I118" s="49">
        <f>I120</f>
        <v>719.58199999999999</v>
      </c>
      <c r="J118" s="8"/>
      <c r="K118" s="69"/>
      <c r="L118" s="1"/>
    </row>
    <row r="119" spans="1:12" x14ac:dyDescent="0.25">
      <c r="A119" s="2"/>
      <c r="B119" s="47" t="s">
        <v>256</v>
      </c>
      <c r="C119" s="70" t="s">
        <v>257</v>
      </c>
      <c r="D119" s="68" t="s">
        <v>258</v>
      </c>
      <c r="E119" s="18">
        <f t="shared" si="0"/>
        <v>25.006</v>
      </c>
      <c r="F119" s="48"/>
      <c r="G119" s="48">
        <f>G86</f>
        <v>25.006</v>
      </c>
      <c r="H119" s="48"/>
      <c r="I119" s="48"/>
      <c r="J119" s="8"/>
      <c r="K119" s="69"/>
      <c r="L119" s="1"/>
    </row>
    <row r="120" spans="1:12" x14ac:dyDescent="0.25">
      <c r="A120" s="2"/>
      <c r="B120" s="47" t="s">
        <v>259</v>
      </c>
      <c r="C120" s="70" t="s">
        <v>190</v>
      </c>
      <c r="D120" s="68" t="s">
        <v>260</v>
      </c>
      <c r="E120" s="18">
        <f t="shared" si="0"/>
        <v>6666.4049999999997</v>
      </c>
      <c r="F120" s="48"/>
      <c r="G120" s="48">
        <f>G27+E41</f>
        <v>4790.7699999999995</v>
      </c>
      <c r="H120" s="48">
        <f>H27</f>
        <v>1156.0530000000001</v>
      </c>
      <c r="I120" s="48">
        <f>I27</f>
        <v>719.58199999999999</v>
      </c>
      <c r="J120" s="8"/>
      <c r="K120" s="69"/>
      <c r="L120" s="1"/>
    </row>
    <row r="121" spans="1:12" x14ac:dyDescent="0.25">
      <c r="A121" s="2"/>
      <c r="B121" s="111" t="s">
        <v>261</v>
      </c>
      <c r="C121" s="112"/>
      <c r="D121" s="112"/>
      <c r="E121" s="112"/>
      <c r="F121" s="112"/>
      <c r="G121" s="112"/>
      <c r="H121" s="112"/>
      <c r="I121" s="113"/>
      <c r="J121" s="8"/>
      <c r="K121" s="69"/>
      <c r="L121" s="1"/>
    </row>
    <row r="122" spans="1:12" x14ac:dyDescent="0.25">
      <c r="A122" s="2"/>
      <c r="B122" s="47" t="s">
        <v>262</v>
      </c>
      <c r="C122" s="67" t="s">
        <v>263</v>
      </c>
      <c r="D122" s="68" t="s">
        <v>264</v>
      </c>
      <c r="E122" s="18">
        <f t="shared" si="0"/>
        <v>0</v>
      </c>
      <c r="F122" s="49">
        <f>SUM( F123:F124)</f>
        <v>0</v>
      </c>
      <c r="G122" s="49">
        <f>SUM( G123:G124)</f>
        <v>0</v>
      </c>
      <c r="H122" s="49">
        <f>SUM( H123:H124)</f>
        <v>0</v>
      </c>
      <c r="I122" s="49">
        <f>SUM( I123:I124)</f>
        <v>0</v>
      </c>
      <c r="J122" s="8"/>
      <c r="K122" s="69"/>
      <c r="L122" s="1"/>
    </row>
    <row r="123" spans="1:12" x14ac:dyDescent="0.25">
      <c r="A123" s="2"/>
      <c r="B123" s="47" t="s">
        <v>265</v>
      </c>
      <c r="C123" s="70" t="s">
        <v>178</v>
      </c>
      <c r="D123" s="68" t="s">
        <v>266</v>
      </c>
      <c r="E123" s="18">
        <f t="shared" si="0"/>
        <v>0</v>
      </c>
      <c r="F123" s="48"/>
      <c r="G123" s="48"/>
      <c r="H123" s="48"/>
      <c r="I123" s="48"/>
      <c r="J123" s="8"/>
      <c r="K123" s="69"/>
      <c r="L123" s="1"/>
    </row>
    <row r="124" spans="1:12" x14ac:dyDescent="0.25">
      <c r="A124" s="2"/>
      <c r="B124" s="47" t="s">
        <v>267</v>
      </c>
      <c r="C124" s="70" t="s">
        <v>181</v>
      </c>
      <c r="D124" s="68" t="s">
        <v>268</v>
      </c>
      <c r="E124" s="18">
        <f t="shared" si="0"/>
        <v>0</v>
      </c>
      <c r="F124" s="49">
        <f>F125+F127</f>
        <v>0</v>
      </c>
      <c r="G124" s="49">
        <f>G125+G127</f>
        <v>0</v>
      </c>
      <c r="H124" s="49">
        <f>H125+H127</f>
        <v>0</v>
      </c>
      <c r="I124" s="49">
        <f>I125+I127</f>
        <v>0</v>
      </c>
      <c r="J124" s="8"/>
      <c r="K124" s="69"/>
      <c r="L124" s="1"/>
    </row>
    <row r="125" spans="1:12" x14ac:dyDescent="0.25">
      <c r="A125" s="2"/>
      <c r="B125" s="47" t="s">
        <v>269</v>
      </c>
      <c r="C125" s="70" t="s">
        <v>270</v>
      </c>
      <c r="D125" s="68" t="s">
        <v>271</v>
      </c>
      <c r="E125" s="18">
        <f t="shared" si="0"/>
        <v>0</v>
      </c>
      <c r="F125" s="48"/>
      <c r="G125" s="48"/>
      <c r="H125" s="48"/>
      <c r="I125" s="48"/>
      <c r="J125" s="8"/>
      <c r="K125" s="69"/>
      <c r="L125" s="1"/>
    </row>
    <row r="126" spans="1:12" x14ac:dyDescent="0.25">
      <c r="A126" s="2"/>
      <c r="B126" s="47" t="s">
        <v>272</v>
      </c>
      <c r="C126" s="70" t="s">
        <v>273</v>
      </c>
      <c r="D126" s="68" t="s">
        <v>274</v>
      </c>
      <c r="E126" s="18">
        <f t="shared" si="0"/>
        <v>0</v>
      </c>
      <c r="F126" s="48"/>
      <c r="G126" s="48"/>
      <c r="H126" s="48"/>
      <c r="I126" s="48"/>
      <c r="J126" s="8"/>
      <c r="K126" s="69"/>
      <c r="L126" s="1"/>
    </row>
    <row r="127" spans="1:12" x14ac:dyDescent="0.25">
      <c r="A127" s="2"/>
      <c r="B127" s="47" t="s">
        <v>275</v>
      </c>
      <c r="C127" s="70" t="s">
        <v>276</v>
      </c>
      <c r="D127" s="68" t="s">
        <v>277</v>
      </c>
      <c r="E127" s="18">
        <f t="shared" si="0"/>
        <v>0</v>
      </c>
      <c r="F127" s="48"/>
      <c r="G127" s="48"/>
      <c r="H127" s="48"/>
      <c r="I127" s="48"/>
      <c r="J127" s="8"/>
      <c r="K127" s="69"/>
      <c r="L127" s="1"/>
    </row>
    <row r="128" spans="1:12" x14ac:dyDescent="0.25">
      <c r="A128" s="2"/>
      <c r="B128" s="47" t="s">
        <v>19</v>
      </c>
      <c r="C128" s="67" t="s">
        <v>278</v>
      </c>
      <c r="D128" s="68" t="s">
        <v>279</v>
      </c>
      <c r="E128" s="18">
        <f t="shared" si="0"/>
        <v>0</v>
      </c>
      <c r="F128" s="50">
        <f>SUM( F129+F134)</f>
        <v>0</v>
      </c>
      <c r="G128" s="50">
        <f>SUM( G129+G134)</f>
        <v>0</v>
      </c>
      <c r="H128" s="50">
        <f>SUM( H129+H134)</f>
        <v>0</v>
      </c>
      <c r="I128" s="50">
        <f>SUM( I129+I134)</f>
        <v>0</v>
      </c>
      <c r="J128" s="52"/>
      <c r="K128" s="69"/>
      <c r="L128" s="1"/>
    </row>
    <row r="129" spans="1:12" x14ac:dyDescent="0.25">
      <c r="A129" s="2"/>
      <c r="B129" s="47" t="s">
        <v>280</v>
      </c>
      <c r="C129" s="70" t="s">
        <v>178</v>
      </c>
      <c r="D129" s="68" t="s">
        <v>281</v>
      </c>
      <c r="E129" s="18">
        <f t="shared" ref="E129:E142" si="1">SUM(F129:I129)</f>
        <v>0</v>
      </c>
      <c r="F129" s="50">
        <f>SUM( F130:F131)</f>
        <v>0</v>
      </c>
      <c r="G129" s="50">
        <f>SUM( G130:G131)</f>
        <v>0</v>
      </c>
      <c r="H129" s="50">
        <f>SUM( H130:H131)</f>
        <v>0</v>
      </c>
      <c r="I129" s="50">
        <f>SUM( I130:I131)</f>
        <v>0</v>
      </c>
      <c r="J129" s="52"/>
      <c r="K129" s="69"/>
      <c r="L129" s="1"/>
    </row>
    <row r="130" spans="1:12" x14ac:dyDescent="0.25">
      <c r="A130" s="2"/>
      <c r="B130" s="47" t="s">
        <v>282</v>
      </c>
      <c r="C130" s="70" t="s">
        <v>199</v>
      </c>
      <c r="D130" s="68" t="s">
        <v>283</v>
      </c>
      <c r="E130" s="18">
        <f t="shared" si="1"/>
        <v>0</v>
      </c>
      <c r="F130" s="53"/>
      <c r="G130" s="53"/>
      <c r="H130" s="53"/>
      <c r="I130" s="53"/>
      <c r="J130" s="52"/>
      <c r="K130" s="69"/>
      <c r="L130" s="1"/>
    </row>
    <row r="131" spans="1:12" x14ac:dyDescent="0.25">
      <c r="A131" s="2"/>
      <c r="B131" s="47" t="s">
        <v>284</v>
      </c>
      <c r="C131" s="70" t="s">
        <v>202</v>
      </c>
      <c r="D131" s="68" t="s">
        <v>285</v>
      </c>
      <c r="E131" s="18">
        <f t="shared" si="1"/>
        <v>0</v>
      </c>
      <c r="F131" s="50">
        <f>F132+F133</f>
        <v>0</v>
      </c>
      <c r="G131" s="50">
        <f>G132+G133</f>
        <v>0</v>
      </c>
      <c r="H131" s="50">
        <f>H132+H133</f>
        <v>0</v>
      </c>
      <c r="I131" s="50">
        <f>I132+I133</f>
        <v>0</v>
      </c>
      <c r="J131" s="52"/>
      <c r="K131" s="69"/>
      <c r="L131" s="1"/>
    </row>
    <row r="132" spans="1:12" x14ac:dyDescent="0.25">
      <c r="A132" s="2"/>
      <c r="B132" s="47" t="s">
        <v>286</v>
      </c>
      <c r="C132" s="70" t="s">
        <v>208</v>
      </c>
      <c r="D132" s="68" t="s">
        <v>287</v>
      </c>
      <c r="E132" s="18">
        <f t="shared" si="1"/>
        <v>0</v>
      </c>
      <c r="F132" s="53"/>
      <c r="G132" s="53"/>
      <c r="H132" s="53"/>
      <c r="I132" s="53"/>
      <c r="J132" s="52"/>
      <c r="K132" s="69"/>
      <c r="L132" s="1"/>
    </row>
    <row r="133" spans="1:12" x14ac:dyDescent="0.25">
      <c r="A133" s="2"/>
      <c r="B133" s="47" t="s">
        <v>288</v>
      </c>
      <c r="C133" s="70" t="s">
        <v>289</v>
      </c>
      <c r="D133" s="68" t="s">
        <v>290</v>
      </c>
      <c r="E133" s="18">
        <f t="shared" si="1"/>
        <v>0</v>
      </c>
      <c r="F133" s="53"/>
      <c r="G133" s="53"/>
      <c r="H133" s="53"/>
      <c r="I133" s="53"/>
      <c r="J133" s="52"/>
      <c r="K133" s="69"/>
      <c r="L133" s="1"/>
    </row>
    <row r="134" spans="1:12" x14ac:dyDescent="0.25">
      <c r="A134" s="2"/>
      <c r="B134" s="47" t="s">
        <v>291</v>
      </c>
      <c r="C134" s="70" t="s">
        <v>240</v>
      </c>
      <c r="D134" s="68" t="s">
        <v>292</v>
      </c>
      <c r="E134" s="18">
        <f t="shared" si="1"/>
        <v>0</v>
      </c>
      <c r="F134" s="50">
        <f>F135+F137</f>
        <v>0</v>
      </c>
      <c r="G134" s="50">
        <f>G135+G137</f>
        <v>0</v>
      </c>
      <c r="H134" s="50">
        <f>H135+H137</f>
        <v>0</v>
      </c>
      <c r="I134" s="50">
        <f>I135+I137</f>
        <v>0</v>
      </c>
      <c r="J134" s="52"/>
      <c r="K134" s="69"/>
      <c r="L134" s="1"/>
    </row>
    <row r="135" spans="1:12" x14ac:dyDescent="0.25">
      <c r="A135" s="2"/>
      <c r="B135" s="47" t="s">
        <v>293</v>
      </c>
      <c r="C135" s="70" t="s">
        <v>270</v>
      </c>
      <c r="D135" s="68" t="s">
        <v>294</v>
      </c>
      <c r="E135" s="18">
        <f t="shared" si="1"/>
        <v>0</v>
      </c>
      <c r="F135" s="48"/>
      <c r="G135" s="48"/>
      <c r="H135" s="48"/>
      <c r="I135" s="48"/>
      <c r="J135" s="52"/>
      <c r="K135" s="69"/>
      <c r="L135" s="1"/>
    </row>
    <row r="136" spans="1:12" x14ac:dyDescent="0.25">
      <c r="A136" s="2"/>
      <c r="B136" s="47" t="s">
        <v>295</v>
      </c>
      <c r="C136" s="70" t="s">
        <v>273</v>
      </c>
      <c r="D136" s="68" t="s">
        <v>296</v>
      </c>
      <c r="E136" s="18">
        <f t="shared" si="1"/>
        <v>0</v>
      </c>
      <c r="F136" s="48"/>
      <c r="G136" s="48"/>
      <c r="H136" s="48"/>
      <c r="I136" s="48"/>
      <c r="J136" s="52"/>
      <c r="K136" s="69"/>
      <c r="L136" s="1"/>
    </row>
    <row r="137" spans="1:12" x14ac:dyDescent="0.25">
      <c r="A137" s="2"/>
      <c r="B137" s="47" t="s">
        <v>297</v>
      </c>
      <c r="C137" s="70" t="s">
        <v>276</v>
      </c>
      <c r="D137" s="68" t="s">
        <v>298</v>
      </c>
      <c r="E137" s="18">
        <f t="shared" si="1"/>
        <v>0</v>
      </c>
      <c r="F137" s="48"/>
      <c r="G137" s="48"/>
      <c r="H137" s="48"/>
      <c r="I137" s="48"/>
      <c r="J137" s="52"/>
      <c r="K137" s="69"/>
      <c r="L137" s="1"/>
    </row>
    <row r="138" spans="1:12" x14ac:dyDescent="0.25">
      <c r="A138" s="2"/>
      <c r="B138" s="47" t="s">
        <v>299</v>
      </c>
      <c r="C138" s="67" t="s">
        <v>300</v>
      </c>
      <c r="D138" s="68" t="s">
        <v>301</v>
      </c>
      <c r="E138" s="18">
        <f t="shared" si="1"/>
        <v>3701.9059893119997</v>
      </c>
      <c r="F138" s="49">
        <f>SUM( F139:F140)</f>
        <v>0</v>
      </c>
      <c r="G138" s="49">
        <f>SUM( G139:G140)</f>
        <v>3501.8132475119996</v>
      </c>
      <c r="H138" s="49">
        <f>SUM( H139:H140)</f>
        <v>123.32773404000002</v>
      </c>
      <c r="I138" s="49">
        <f>SUM( I139:I140)</f>
        <v>76.765007760000003</v>
      </c>
      <c r="J138" s="52"/>
      <c r="K138" s="69"/>
      <c r="L138" s="1"/>
    </row>
    <row r="139" spans="1:12" x14ac:dyDescent="0.25">
      <c r="A139" s="2"/>
      <c r="B139" s="47" t="s">
        <v>302</v>
      </c>
      <c r="C139" s="70" t="s">
        <v>178</v>
      </c>
      <c r="D139" s="68" t="s">
        <v>303</v>
      </c>
      <c r="E139" s="18">
        <f t="shared" si="1"/>
        <v>0</v>
      </c>
      <c r="F139" s="48"/>
      <c r="G139" s="48"/>
      <c r="H139" s="48"/>
      <c r="I139" s="48"/>
      <c r="J139" s="52"/>
      <c r="K139" s="69"/>
      <c r="L139" s="1"/>
    </row>
    <row r="140" spans="1:12" x14ac:dyDescent="0.25">
      <c r="A140" s="2"/>
      <c r="B140" s="47" t="s">
        <v>304</v>
      </c>
      <c r="C140" s="70" t="s">
        <v>181</v>
      </c>
      <c r="D140" s="68" t="s">
        <v>305</v>
      </c>
      <c r="E140" s="18">
        <f t="shared" si="1"/>
        <v>3701.9059893119997</v>
      </c>
      <c r="F140" s="49">
        <f>F141+F142</f>
        <v>0</v>
      </c>
      <c r="G140" s="49">
        <f>G141+G142</f>
        <v>3501.8132475119996</v>
      </c>
      <c r="H140" s="49">
        <f>H141+H142</f>
        <v>123.32773404000002</v>
      </c>
      <c r="I140" s="49">
        <f>I141+I142</f>
        <v>76.765007760000003</v>
      </c>
      <c r="J140" s="52"/>
      <c r="K140" s="69"/>
      <c r="L140" s="1"/>
    </row>
    <row r="141" spans="1:12" x14ac:dyDescent="0.25">
      <c r="A141" s="2"/>
      <c r="B141" s="47" t="s">
        <v>306</v>
      </c>
      <c r="C141" s="70" t="s">
        <v>307</v>
      </c>
      <c r="D141" s="68" t="s">
        <v>308</v>
      </c>
      <c r="E141" s="18">
        <f t="shared" si="1"/>
        <v>2990.7339039119997</v>
      </c>
      <c r="F141" s="48"/>
      <c r="G141" s="48">
        <f>G119*99667.21/1000*1.2</f>
        <v>2990.7339039119997</v>
      </c>
      <c r="H141" s="48"/>
      <c r="I141" s="48"/>
      <c r="J141" s="52"/>
      <c r="K141" s="69"/>
      <c r="L141" s="1"/>
    </row>
    <row r="142" spans="1:12" x14ac:dyDescent="0.25">
      <c r="A142" s="2"/>
      <c r="B142" s="47" t="s">
        <v>309</v>
      </c>
      <c r="C142" s="70" t="s">
        <v>276</v>
      </c>
      <c r="D142" s="68" t="s">
        <v>310</v>
      </c>
      <c r="E142" s="18">
        <f t="shared" si="1"/>
        <v>711.17208540000001</v>
      </c>
      <c r="F142" s="48"/>
      <c r="G142" s="48">
        <f>G120*88.9/1000*1.2</f>
        <v>511.07934359999996</v>
      </c>
      <c r="H142" s="48">
        <f>H120*88.9/1000*1.2</f>
        <v>123.32773404000002</v>
      </c>
      <c r="I142" s="48">
        <f>I120*88.9/1000*1.2</f>
        <v>76.765007760000003</v>
      </c>
      <c r="J142" s="52"/>
      <c r="K142" s="69"/>
      <c r="L142" s="1"/>
    </row>
    <row r="143" spans="1:12" x14ac:dyDescent="0.25">
      <c r="A143" s="1"/>
      <c r="B143" s="6"/>
      <c r="C143" s="80"/>
      <c r="D143" s="80"/>
      <c r="E143" s="80"/>
      <c r="F143" s="80"/>
      <c r="G143" s="80"/>
      <c r="H143" s="80"/>
      <c r="I143" s="81"/>
      <c r="J143" s="81"/>
      <c r="K143" s="81"/>
      <c r="L143" s="81"/>
    </row>
    <row r="144" spans="1:12" x14ac:dyDescent="0.25">
      <c r="A144" s="1"/>
      <c r="B144" s="1"/>
      <c r="C144" s="69" t="s">
        <v>311</v>
      </c>
      <c r="D144" s="103" t="s">
        <v>322</v>
      </c>
      <c r="E144" s="103"/>
      <c r="F144" s="58"/>
      <c r="G144" s="103" t="s">
        <v>323</v>
      </c>
      <c r="H144" s="103"/>
      <c r="I144" s="103"/>
      <c r="J144" s="58"/>
      <c r="K144" s="82"/>
      <c r="L144" s="82"/>
    </row>
    <row r="145" spans="1:12" x14ac:dyDescent="0.25">
      <c r="A145" s="1"/>
      <c r="B145" s="1"/>
      <c r="C145" s="60" t="s">
        <v>312</v>
      </c>
      <c r="D145" s="102" t="s">
        <v>313</v>
      </c>
      <c r="E145" s="102"/>
      <c r="F145" s="83"/>
      <c r="G145" s="102" t="s">
        <v>314</v>
      </c>
      <c r="H145" s="102"/>
      <c r="I145" s="102"/>
      <c r="J145" s="83"/>
      <c r="K145" s="102" t="s">
        <v>315</v>
      </c>
      <c r="L145" s="102"/>
    </row>
    <row r="146" spans="1:12" x14ac:dyDescent="0.25">
      <c r="A146" s="1"/>
      <c r="B146" s="1"/>
      <c r="C146" s="60" t="s">
        <v>316</v>
      </c>
      <c r="D146" s="69"/>
      <c r="E146" s="69"/>
      <c r="F146" s="69"/>
      <c r="G146" s="69"/>
      <c r="H146" s="69"/>
      <c r="I146" s="69"/>
      <c r="J146" s="69"/>
      <c r="K146" s="69"/>
      <c r="L146" s="69"/>
    </row>
    <row r="147" spans="1:12" x14ac:dyDescent="0.25">
      <c r="A147" s="1"/>
      <c r="B147" s="1"/>
      <c r="C147" s="60" t="s">
        <v>317</v>
      </c>
      <c r="D147" s="103" t="s">
        <v>324</v>
      </c>
      <c r="E147" s="103"/>
      <c r="F147" s="103"/>
      <c r="G147" s="69"/>
      <c r="H147" s="60" t="s">
        <v>318</v>
      </c>
      <c r="I147" s="62"/>
      <c r="J147" s="69"/>
      <c r="K147" s="69"/>
      <c r="L147" s="69"/>
    </row>
    <row r="148" spans="1:12" x14ac:dyDescent="0.25">
      <c r="A148" s="1"/>
      <c r="B148" s="1"/>
      <c r="C148" s="69" t="s">
        <v>319</v>
      </c>
      <c r="D148" s="104" t="s">
        <v>320</v>
      </c>
      <c r="E148" s="104"/>
      <c r="F148" s="104"/>
      <c r="G148" s="69"/>
      <c r="H148" s="63" t="s">
        <v>321</v>
      </c>
      <c r="I148" s="63"/>
      <c r="J148" s="69"/>
      <c r="K148" s="69"/>
      <c r="L148" s="69"/>
    </row>
  </sheetData>
  <mergeCells count="18">
    <mergeCell ref="D144:E144"/>
    <mergeCell ref="G144:I144"/>
    <mergeCell ref="B2:C2"/>
    <mergeCell ref="B5:B6"/>
    <mergeCell ref="C5:C6"/>
    <mergeCell ref="D5:D6"/>
    <mergeCell ref="E5:E6"/>
    <mergeCell ref="F5:I5"/>
    <mergeCell ref="B8:I8"/>
    <mergeCell ref="B46:I46"/>
    <mergeCell ref="B84:I84"/>
    <mergeCell ref="B88:I88"/>
    <mergeCell ref="B121:I121"/>
    <mergeCell ref="D145:E145"/>
    <mergeCell ref="G145:I145"/>
    <mergeCell ref="K145:L145"/>
    <mergeCell ref="D147:F147"/>
    <mergeCell ref="D148:F148"/>
  </mergeCells>
  <dataValidations count="2">
    <dataValidation allowBlank="1" showInputMessage="1" promptTitle="Ввод" prompt="Для выбора организации необходимо два раза нажать левую клавишу мыши!" sqref="C19 C35 C57 C73"/>
    <dataValidation type="decimal" allowBlank="1" showErrorMessage="1" errorTitle="Ошибка" error="Допускается ввод только действительных чисел!" sqref="E17:I19 E85:I87 E9:I12 E47:I50 E75:I83 E89:I120 E55:I57 E37:I45 E21:I35 E122:I142 E52:I53 E14:I15 E59:I73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3"/>
  <sheetViews>
    <sheetView topLeftCell="C133" workbookViewId="0">
      <selection activeCell="O134" sqref="O134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6" t="s">
        <v>7</v>
      </c>
      <c r="I12" s="96" t="s">
        <v>8</v>
      </c>
      <c r="J12" s="96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4432.4570000000003</v>
      </c>
      <c r="H15" s="18">
        <f>H16+H17+H20+H23</f>
        <v>717.85199999999998</v>
      </c>
      <c r="I15" s="18">
        <f>I16+I17+I20+I23</f>
        <v>3502.76</v>
      </c>
      <c r="J15" s="18">
        <f>J16+J17+J20+J23</f>
        <v>211.845</v>
      </c>
      <c r="K15" s="18">
        <f>K16+K17+K20+K23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4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</v>
      </c>
      <c r="H17" s="18">
        <f>SUM(H18:H19)</f>
        <v>0</v>
      </c>
      <c r="I17" s="18">
        <f>SUM(I18:I19)</f>
        <v>0</v>
      </c>
      <c r="J17" s="18">
        <f>SUM(J18:J19)</f>
        <v>0</v>
      </c>
      <c r="K17" s="18">
        <f>SUM(K18:K19)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2.75" x14ac:dyDescent="0.2">
      <c r="C19" s="12"/>
      <c r="D19" s="26"/>
      <c r="E19" s="27" t="s">
        <v>20</v>
      </c>
      <c r="F19" s="28"/>
      <c r="G19" s="28"/>
      <c r="H19" s="28"/>
      <c r="I19" s="28"/>
      <c r="J19" s="28"/>
      <c r="K19" s="29"/>
      <c r="L19" s="13"/>
      <c r="M19" s="19"/>
      <c r="P19" s="92"/>
    </row>
    <row r="20" spans="3:16" s="14" customFormat="1" ht="12.75" x14ac:dyDescent="0.2">
      <c r="C20" s="12"/>
      <c r="D20" s="15" t="s">
        <v>21</v>
      </c>
      <c r="E20" s="20" t="s">
        <v>22</v>
      </c>
      <c r="F20" s="17" t="s">
        <v>23</v>
      </c>
      <c r="G20" s="18">
        <f t="shared" si="0"/>
        <v>0</v>
      </c>
      <c r="H20" s="18">
        <f>SUM(H21:H22)</f>
        <v>0</v>
      </c>
      <c r="I20" s="18">
        <f>SUM(I21:I22)</f>
        <v>0</v>
      </c>
      <c r="J20" s="18">
        <f>SUM(J21:J22)</f>
        <v>0</v>
      </c>
      <c r="K20" s="18">
        <f>SUM(K21:K22)</f>
        <v>0</v>
      </c>
      <c r="L20" s="13"/>
      <c r="M20" s="19"/>
      <c r="P20" s="92"/>
    </row>
    <row r="21" spans="3:16" s="14" customFormat="1" ht="12.75" x14ac:dyDescent="0.2">
      <c r="C21" s="12"/>
      <c r="D21" s="22" t="s">
        <v>24</v>
      </c>
      <c r="E21" s="23"/>
      <c r="F21" s="24" t="s">
        <v>23</v>
      </c>
      <c r="G21" s="25"/>
      <c r="H21" s="25"/>
      <c r="I21" s="25"/>
      <c r="J21" s="25"/>
      <c r="K21" s="25"/>
      <c r="L21" s="13"/>
      <c r="M21" s="19"/>
      <c r="P21" s="91"/>
    </row>
    <row r="22" spans="3:16" s="14" customFormat="1" ht="12.75" x14ac:dyDescent="0.2">
      <c r="C22" s="12"/>
      <c r="D22" s="26"/>
      <c r="E22" s="27" t="s">
        <v>20</v>
      </c>
      <c r="F22" s="28"/>
      <c r="G22" s="28"/>
      <c r="H22" s="28"/>
      <c r="I22" s="28"/>
      <c r="J22" s="28"/>
      <c r="K22" s="29"/>
      <c r="L22" s="13"/>
      <c r="M22" s="19"/>
      <c r="P22" s="92"/>
    </row>
    <row r="23" spans="3:16" s="14" customFormat="1" ht="12.75" x14ac:dyDescent="0.2">
      <c r="C23" s="12"/>
      <c r="D23" s="15" t="s">
        <v>25</v>
      </c>
      <c r="E23" s="20" t="s">
        <v>26</v>
      </c>
      <c r="F23" s="17" t="s">
        <v>27</v>
      </c>
      <c r="G23" s="18">
        <f t="shared" si="0"/>
        <v>4432.4570000000003</v>
      </c>
      <c r="H23" s="18">
        <f>SUM(H24:H26)</f>
        <v>717.85199999999998</v>
      </c>
      <c r="I23" s="18">
        <f>SUM(I24:I26)</f>
        <v>3502.76</v>
      </c>
      <c r="J23" s="18">
        <f>SUM(J24:J26)</f>
        <v>211.845</v>
      </c>
      <c r="K23" s="18">
        <f>SUM(K24:K26)</f>
        <v>0</v>
      </c>
      <c r="L23" s="13"/>
      <c r="M23" s="19"/>
      <c r="P23" s="91">
        <v>40</v>
      </c>
    </row>
    <row r="24" spans="3:16" s="14" customFormat="1" ht="12.75" x14ac:dyDescent="0.2">
      <c r="C24" s="12"/>
      <c r="D24" s="22" t="s">
        <v>28</v>
      </c>
      <c r="E24" s="23"/>
      <c r="F24" s="24" t="s">
        <v>27</v>
      </c>
      <c r="G24" s="25"/>
      <c r="H24" s="25"/>
      <c r="I24" s="25"/>
      <c r="J24" s="25"/>
      <c r="K24" s="25"/>
      <c r="L24" s="13"/>
      <c r="M24" s="19"/>
      <c r="P24" s="91"/>
    </row>
    <row r="25" spans="3:16" s="14" customFormat="1" ht="15" x14ac:dyDescent="0.25">
      <c r="C25" s="30" t="s">
        <v>29</v>
      </c>
      <c r="D25" s="31" t="s">
        <v>30</v>
      </c>
      <c r="E25" s="32" t="s">
        <v>31</v>
      </c>
      <c r="F25" s="33">
        <v>431</v>
      </c>
      <c r="G25" s="34">
        <f>SUM(H25:K25)</f>
        <v>4432.4570000000003</v>
      </c>
      <c r="H25" s="35">
        <v>717.85199999999998</v>
      </c>
      <c r="I25" s="35">
        <v>3502.76</v>
      </c>
      <c r="J25" s="35">
        <v>211.845</v>
      </c>
      <c r="K25" s="36"/>
      <c r="L25" s="13"/>
      <c r="M25" s="37" t="s">
        <v>32</v>
      </c>
      <c r="N25" s="38" t="s">
        <v>33</v>
      </c>
      <c r="O25" s="38" t="s">
        <v>336</v>
      </c>
    </row>
    <row r="26" spans="3:16" s="14" customFormat="1" ht="12.75" x14ac:dyDescent="0.2">
      <c r="C26" s="12"/>
      <c r="D26" s="26"/>
      <c r="E26" s="27" t="s">
        <v>20</v>
      </c>
      <c r="F26" s="28"/>
      <c r="G26" s="28"/>
      <c r="H26" s="28"/>
      <c r="I26" s="28"/>
      <c r="J26" s="28"/>
      <c r="K26" s="29"/>
      <c r="L26" s="13"/>
      <c r="M26" s="19"/>
      <c r="P26" s="91"/>
    </row>
    <row r="27" spans="3:16" s="14" customFormat="1" ht="12.75" x14ac:dyDescent="0.2">
      <c r="C27" s="12"/>
      <c r="D27" s="15" t="s">
        <v>34</v>
      </c>
      <c r="E27" s="16" t="s">
        <v>35</v>
      </c>
      <c r="F27" s="17" t="s">
        <v>36</v>
      </c>
      <c r="G27" s="18">
        <f t="shared" si="0"/>
        <v>2208.7920000000004</v>
      </c>
      <c r="H27" s="18">
        <f>H29+H30+H31</f>
        <v>0</v>
      </c>
      <c r="I27" s="18">
        <f>I28+I30+I31</f>
        <v>0</v>
      </c>
      <c r="J27" s="18">
        <f>J28+J29+J31</f>
        <v>1545.1130000000003</v>
      </c>
      <c r="K27" s="18">
        <f>K28+K29+K30</f>
        <v>663.67900000000031</v>
      </c>
      <c r="L27" s="13"/>
      <c r="M27" s="19"/>
      <c r="P27" s="91">
        <v>50</v>
      </c>
    </row>
    <row r="28" spans="3:16" s="14" customFormat="1" ht="12.75" x14ac:dyDescent="0.2">
      <c r="C28" s="12"/>
      <c r="D28" s="15" t="s">
        <v>37</v>
      </c>
      <c r="E28" s="20" t="s">
        <v>7</v>
      </c>
      <c r="F28" s="17" t="s">
        <v>38</v>
      </c>
      <c r="G28" s="18">
        <f t="shared" si="0"/>
        <v>669.649</v>
      </c>
      <c r="H28" s="39"/>
      <c r="I28" s="21"/>
      <c r="J28" s="21">
        <f>H44</f>
        <v>669.649</v>
      </c>
      <c r="K28" s="21"/>
      <c r="L28" s="13"/>
      <c r="M28" s="19"/>
      <c r="P28" s="91">
        <v>60</v>
      </c>
    </row>
    <row r="29" spans="3:16" s="14" customFormat="1" ht="12.75" x14ac:dyDescent="0.2">
      <c r="C29" s="12"/>
      <c r="D29" s="15" t="s">
        <v>39</v>
      </c>
      <c r="E29" s="20" t="s">
        <v>8</v>
      </c>
      <c r="F29" s="17" t="s">
        <v>40</v>
      </c>
      <c r="G29" s="18">
        <f t="shared" si="0"/>
        <v>875.46400000000017</v>
      </c>
      <c r="H29" s="21"/>
      <c r="I29" s="39"/>
      <c r="J29" s="21">
        <f>I25-I33-I47</f>
        <v>875.46400000000017</v>
      </c>
      <c r="K29" s="21"/>
      <c r="L29" s="13"/>
      <c r="M29" s="19"/>
      <c r="P29" s="91">
        <v>70</v>
      </c>
    </row>
    <row r="30" spans="3:16" s="14" customFormat="1" ht="12.75" x14ac:dyDescent="0.2">
      <c r="C30" s="12"/>
      <c r="D30" s="15" t="s">
        <v>41</v>
      </c>
      <c r="E30" s="20" t="s">
        <v>9</v>
      </c>
      <c r="F30" s="17" t="s">
        <v>42</v>
      </c>
      <c r="G30" s="18">
        <f t="shared" si="0"/>
        <v>663.67900000000031</v>
      </c>
      <c r="H30" s="21"/>
      <c r="I30" s="21"/>
      <c r="J30" s="39"/>
      <c r="K30" s="21">
        <f>J23+J27+J17-J47-J33</f>
        <v>663.67900000000031</v>
      </c>
      <c r="L30" s="13"/>
      <c r="M30" s="19"/>
      <c r="P30" s="91">
        <v>80</v>
      </c>
    </row>
    <row r="31" spans="3:16" s="14" customFormat="1" ht="12.75" x14ac:dyDescent="0.2">
      <c r="C31" s="12"/>
      <c r="D31" s="15" t="s">
        <v>43</v>
      </c>
      <c r="E31" s="20" t="s">
        <v>44</v>
      </c>
      <c r="F31" s="17" t="s">
        <v>45</v>
      </c>
      <c r="G31" s="18">
        <f t="shared" si="0"/>
        <v>0</v>
      </c>
      <c r="H31" s="21"/>
      <c r="I31" s="21"/>
      <c r="J31" s="21"/>
      <c r="K31" s="39"/>
      <c r="L31" s="13"/>
      <c r="M31" s="19"/>
      <c r="P31" s="91">
        <v>90</v>
      </c>
    </row>
    <row r="32" spans="3:16" s="14" customFormat="1" ht="12.75" x14ac:dyDescent="0.2">
      <c r="C32" s="12"/>
      <c r="D32" s="15" t="s">
        <v>46</v>
      </c>
      <c r="E32" s="40" t="s">
        <v>47</v>
      </c>
      <c r="F32" s="17" t="s">
        <v>48</v>
      </c>
      <c r="G32" s="18">
        <f t="shared" si="0"/>
        <v>0</v>
      </c>
      <c r="H32" s="21"/>
      <c r="I32" s="21"/>
      <c r="J32" s="21"/>
      <c r="K32" s="21"/>
      <c r="L32" s="13"/>
      <c r="M32" s="19"/>
      <c r="P32" s="91"/>
    </row>
    <row r="33" spans="3:16" s="14" customFormat="1" ht="12.75" x14ac:dyDescent="0.2">
      <c r="C33" s="12"/>
      <c r="D33" s="15" t="s">
        <v>49</v>
      </c>
      <c r="E33" s="16" t="s">
        <v>50</v>
      </c>
      <c r="F33" s="41" t="s">
        <v>51</v>
      </c>
      <c r="G33" s="18">
        <f t="shared" si="0"/>
        <v>4252.857</v>
      </c>
      <c r="H33" s="18">
        <f>H34+H36+H39+H43</f>
        <v>0</v>
      </c>
      <c r="I33" s="18">
        <f>I34+I36+I39+I43</f>
        <v>2611.1590000000001</v>
      </c>
      <c r="J33" s="18">
        <f>J34+J36+J39+J43</f>
        <v>1048.9639999999999</v>
      </c>
      <c r="K33" s="18">
        <f>K34+K36+K39+K43</f>
        <v>592.73400000000004</v>
      </c>
      <c r="L33" s="13"/>
      <c r="M33" s="19"/>
      <c r="P33" s="91">
        <v>100</v>
      </c>
    </row>
    <row r="34" spans="3:16" s="14" customFormat="1" ht="22.5" x14ac:dyDescent="0.2">
      <c r="C34" s="12"/>
      <c r="D34" s="15" t="s">
        <v>52</v>
      </c>
      <c r="E34" s="20" t="s">
        <v>53</v>
      </c>
      <c r="F34" s="17" t="s">
        <v>54</v>
      </c>
      <c r="G34" s="18">
        <f t="shared" si="0"/>
        <v>0</v>
      </c>
      <c r="H34" s="21"/>
      <c r="I34" s="21"/>
      <c r="J34" s="21"/>
      <c r="K34" s="21"/>
      <c r="L34" s="13"/>
      <c r="M34" s="19"/>
      <c r="P34" s="91"/>
    </row>
    <row r="35" spans="3:16" s="14" customFormat="1" ht="12.75" x14ac:dyDescent="0.2">
      <c r="C35" s="12"/>
      <c r="D35" s="15" t="s">
        <v>55</v>
      </c>
      <c r="E35" s="42" t="s">
        <v>56</v>
      </c>
      <c r="F35" s="17" t="s">
        <v>57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58</v>
      </c>
      <c r="E36" s="20" t="s">
        <v>59</v>
      </c>
      <c r="F36" s="17" t="s">
        <v>60</v>
      </c>
      <c r="G36" s="18">
        <f t="shared" si="0"/>
        <v>2402.5450000000001</v>
      </c>
      <c r="H36" s="21">
        <v>0</v>
      </c>
      <c r="I36" s="21">
        <f>2611.159-I41</f>
        <v>760.84700000000021</v>
      </c>
      <c r="J36" s="21">
        <v>1048.9639999999999</v>
      </c>
      <c r="K36" s="21">
        <v>592.73400000000004</v>
      </c>
      <c r="L36" s="13"/>
      <c r="M36" s="19"/>
      <c r="P36" s="91"/>
    </row>
    <row r="37" spans="3:16" s="14" customFormat="1" ht="12.75" x14ac:dyDescent="0.2">
      <c r="C37" s="12"/>
      <c r="D37" s="15" t="s">
        <v>61</v>
      </c>
      <c r="E37" s="42" t="s">
        <v>62</v>
      </c>
      <c r="F37" s="17" t="s">
        <v>63</v>
      </c>
      <c r="G37" s="18">
        <f t="shared" si="0"/>
        <v>0</v>
      </c>
      <c r="H37" s="21"/>
      <c r="I37" s="21"/>
      <c r="J37" s="21"/>
      <c r="K37" s="21"/>
      <c r="L37" s="13"/>
      <c r="M37" s="19"/>
      <c r="P37" s="91"/>
    </row>
    <row r="38" spans="3:16" s="14" customFormat="1" ht="12.75" x14ac:dyDescent="0.2">
      <c r="C38" s="12"/>
      <c r="D38" s="15" t="s">
        <v>64</v>
      </c>
      <c r="E38" s="43" t="s">
        <v>56</v>
      </c>
      <c r="F38" s="17" t="s">
        <v>65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66</v>
      </c>
      <c r="E39" s="20" t="s">
        <v>67</v>
      </c>
      <c r="F39" s="17" t="s">
        <v>68</v>
      </c>
      <c r="G39" s="18">
        <f t="shared" si="0"/>
        <v>1850.3119999999999</v>
      </c>
      <c r="H39" s="18">
        <f>SUM(H40:H42)</f>
        <v>0</v>
      </c>
      <c r="I39" s="18">
        <f>SUM(I40:I42)</f>
        <v>1850.3119999999999</v>
      </c>
      <c r="J39" s="18">
        <f>SUM(J40:J42)</f>
        <v>0</v>
      </c>
      <c r="K39" s="18">
        <f>SUM(K40:K42)</f>
        <v>0</v>
      </c>
      <c r="L39" s="13"/>
      <c r="M39" s="19"/>
      <c r="P39" s="91"/>
    </row>
    <row r="40" spans="3:16" s="14" customFormat="1" ht="12.75" x14ac:dyDescent="0.2">
      <c r="C40" s="12"/>
      <c r="D40" s="22" t="s">
        <v>69</v>
      </c>
      <c r="E40" s="23"/>
      <c r="F40" s="24" t="s">
        <v>68</v>
      </c>
      <c r="G40" s="25"/>
      <c r="H40" s="25"/>
      <c r="I40" s="25"/>
      <c r="J40" s="25"/>
      <c r="K40" s="25"/>
      <c r="L40" s="13"/>
      <c r="M40" s="19"/>
      <c r="P40" s="91"/>
    </row>
    <row r="41" spans="3:16" s="14" customFormat="1" ht="15" x14ac:dyDescent="0.25">
      <c r="C41" s="30" t="s">
        <v>29</v>
      </c>
      <c r="D41" s="31" t="s">
        <v>70</v>
      </c>
      <c r="E41" s="32" t="s">
        <v>71</v>
      </c>
      <c r="F41" s="33">
        <v>751</v>
      </c>
      <c r="G41" s="34">
        <f>SUM(H41:K41)</f>
        <v>1850.3119999999999</v>
      </c>
      <c r="H41" s="35"/>
      <c r="I41" s="35">
        <v>1850.3119999999999</v>
      </c>
      <c r="J41" s="35"/>
      <c r="K41" s="36"/>
      <c r="L41" s="13"/>
      <c r="M41" s="37" t="s">
        <v>72</v>
      </c>
      <c r="N41" s="38" t="s">
        <v>73</v>
      </c>
      <c r="O41" s="38" t="s">
        <v>337</v>
      </c>
    </row>
    <row r="42" spans="3:16" s="14" customFormat="1" ht="12.75" x14ac:dyDescent="0.2">
      <c r="C42" s="12"/>
      <c r="D42" s="44"/>
      <c r="E42" s="27" t="s">
        <v>20</v>
      </c>
      <c r="F42" s="28"/>
      <c r="G42" s="28"/>
      <c r="H42" s="28"/>
      <c r="I42" s="28"/>
      <c r="J42" s="28"/>
      <c r="K42" s="29"/>
      <c r="L42" s="13"/>
      <c r="M42" s="19"/>
      <c r="P42" s="91"/>
    </row>
    <row r="43" spans="3:16" s="14" customFormat="1" ht="12.75" x14ac:dyDescent="0.2">
      <c r="C43" s="12"/>
      <c r="D43" s="15" t="s">
        <v>74</v>
      </c>
      <c r="E43" s="45" t="s">
        <v>75</v>
      </c>
      <c r="F43" s="17" t="s">
        <v>76</v>
      </c>
      <c r="G43" s="18">
        <f t="shared" si="0"/>
        <v>0</v>
      </c>
      <c r="H43" s="21"/>
      <c r="I43" s="21"/>
      <c r="J43" s="21"/>
      <c r="K43" s="21"/>
      <c r="L43" s="13"/>
      <c r="M43" s="19"/>
      <c r="P43" s="91">
        <v>120</v>
      </c>
    </row>
    <row r="44" spans="3:16" s="14" customFormat="1" ht="12.75" x14ac:dyDescent="0.2">
      <c r="C44" s="12"/>
      <c r="D44" s="15" t="s">
        <v>77</v>
      </c>
      <c r="E44" s="16" t="s">
        <v>78</v>
      </c>
      <c r="F44" s="17" t="s">
        <v>79</v>
      </c>
      <c r="G44" s="18">
        <f t="shared" si="0"/>
        <v>2208.7920000000008</v>
      </c>
      <c r="H44" s="21">
        <f>H25-H47</f>
        <v>669.649</v>
      </c>
      <c r="I44" s="21">
        <f>I15-I33-I47</f>
        <v>875.46400000000017</v>
      </c>
      <c r="J44" s="21">
        <f>J23+J27+J17-J33-J47</f>
        <v>663.67900000000031</v>
      </c>
      <c r="K44" s="21">
        <f>K30-K33-K47</f>
        <v>2.8421709430404007E-13</v>
      </c>
      <c r="L44" s="13"/>
      <c r="M44" s="19"/>
      <c r="P44" s="91">
        <v>150</v>
      </c>
    </row>
    <row r="45" spans="3:16" s="14" customFormat="1" ht="12.75" x14ac:dyDescent="0.2">
      <c r="C45" s="12"/>
      <c r="D45" s="15" t="s">
        <v>80</v>
      </c>
      <c r="E45" s="16" t="s">
        <v>81</v>
      </c>
      <c r="F45" s="17" t="s">
        <v>82</v>
      </c>
      <c r="G45" s="18">
        <f t="shared" si="0"/>
        <v>0</v>
      </c>
      <c r="H45" s="21"/>
      <c r="I45" s="21"/>
      <c r="J45" s="21"/>
      <c r="K45" s="21"/>
      <c r="L45" s="13"/>
      <c r="M45" s="19"/>
      <c r="P45" s="91">
        <v>160</v>
      </c>
    </row>
    <row r="46" spans="3:16" s="14" customFormat="1" ht="12.75" x14ac:dyDescent="0.2">
      <c r="C46" s="12"/>
      <c r="D46" s="15" t="s">
        <v>83</v>
      </c>
      <c r="E46" s="16" t="s">
        <v>84</v>
      </c>
      <c r="F46" s="17" t="s">
        <v>85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180</v>
      </c>
    </row>
    <row r="47" spans="3:16" s="14" customFormat="1" ht="12.75" x14ac:dyDescent="0.2">
      <c r="C47" s="12"/>
      <c r="D47" s="15" t="s">
        <v>86</v>
      </c>
      <c r="E47" s="16" t="s">
        <v>87</v>
      </c>
      <c r="F47" s="17" t="s">
        <v>88</v>
      </c>
      <c r="G47" s="18">
        <f t="shared" si="0"/>
        <v>179.6</v>
      </c>
      <c r="H47" s="21">
        <v>48.203000000000003</v>
      </c>
      <c r="I47" s="21">
        <v>16.137</v>
      </c>
      <c r="J47" s="21">
        <v>44.314999999999998</v>
      </c>
      <c r="K47" s="21">
        <v>70.944999999999993</v>
      </c>
      <c r="L47" s="13"/>
      <c r="M47" s="19"/>
      <c r="P47" s="91">
        <v>190</v>
      </c>
    </row>
    <row r="48" spans="3:16" s="14" customFormat="1" ht="12.75" x14ac:dyDescent="0.2">
      <c r="C48" s="12"/>
      <c r="D48" s="15" t="s">
        <v>89</v>
      </c>
      <c r="E48" s="20" t="s">
        <v>90</v>
      </c>
      <c r="F48" s="17" t="s">
        <v>91</v>
      </c>
      <c r="G48" s="18">
        <f t="shared" si="0"/>
        <v>0</v>
      </c>
      <c r="H48" s="21"/>
      <c r="I48" s="21"/>
      <c r="J48" s="21"/>
      <c r="K48" s="21"/>
      <c r="L48" s="13"/>
      <c r="M48" s="19"/>
      <c r="P48" s="91">
        <v>200</v>
      </c>
    </row>
    <row r="49" spans="3:16" s="14" customFormat="1" ht="22.5" x14ac:dyDescent="0.2">
      <c r="C49" s="12"/>
      <c r="D49" s="15" t="s">
        <v>92</v>
      </c>
      <c r="E49" s="16" t="s">
        <v>93</v>
      </c>
      <c r="F49" s="17" t="s">
        <v>94</v>
      </c>
      <c r="G49" s="18">
        <f t="shared" si="0"/>
        <v>55.243000000000002</v>
      </c>
      <c r="H49" s="21"/>
      <c r="I49" s="21">
        <f>55.243*0.2468</f>
        <v>13.633972399999999</v>
      </c>
      <c r="J49" s="21">
        <f>55.243*0.3293</f>
        <v>18.191519899999999</v>
      </c>
      <c r="K49" s="21">
        <f>55.243*0.4239</f>
        <v>23.417507700000002</v>
      </c>
      <c r="L49" s="13"/>
      <c r="M49" s="19"/>
      <c r="P49" s="92"/>
    </row>
    <row r="50" spans="3:16" s="14" customFormat="1" ht="33.75" x14ac:dyDescent="0.2">
      <c r="C50" s="12"/>
      <c r="D50" s="15" t="s">
        <v>95</v>
      </c>
      <c r="E50" s="40" t="s">
        <v>96</v>
      </c>
      <c r="F50" s="17" t="s">
        <v>97</v>
      </c>
      <c r="G50" s="18">
        <f t="shared" si="0"/>
        <v>124.357</v>
      </c>
      <c r="H50" s="18">
        <f>H47-H49</f>
        <v>48.203000000000003</v>
      </c>
      <c r="I50" s="18">
        <f>I47-I49</f>
        <v>2.5030276000000011</v>
      </c>
      <c r="J50" s="18">
        <f>J47-J49</f>
        <v>26.123480099999998</v>
      </c>
      <c r="K50" s="18">
        <f>K47-K49</f>
        <v>47.527492299999992</v>
      </c>
      <c r="L50" s="13"/>
      <c r="M50" s="19"/>
      <c r="P50" s="92"/>
    </row>
    <row r="51" spans="3:16" s="14" customFormat="1" ht="12.75" x14ac:dyDescent="0.2">
      <c r="C51" s="12"/>
      <c r="D51" s="15" t="s">
        <v>98</v>
      </c>
      <c r="E51" s="16" t="s">
        <v>99</v>
      </c>
      <c r="F51" s="17" t="s">
        <v>100</v>
      </c>
      <c r="G51" s="18">
        <f t="shared" si="0"/>
        <v>0</v>
      </c>
      <c r="H51" s="18">
        <f>(H15+H27+H32)-(H33+H44+H45+H46+H47)</f>
        <v>0</v>
      </c>
      <c r="I51" s="18">
        <f>(I15+I27+I32)-(I33+I44+I45+I46+I47)</f>
        <v>0</v>
      </c>
      <c r="J51" s="18">
        <f>(J15+J27+J32)-(J33+J44+J45+J46+J47)</f>
        <v>0</v>
      </c>
      <c r="K51" s="18">
        <f>(K15+K27+K32)-(K33+K44+K45+K46+K47)</f>
        <v>0</v>
      </c>
      <c r="L51" s="13"/>
      <c r="M51" s="19"/>
      <c r="P51" s="91">
        <v>210</v>
      </c>
    </row>
    <row r="52" spans="3:16" s="14" customFormat="1" ht="12.75" x14ac:dyDescent="0.2">
      <c r="C52" s="12"/>
      <c r="D52" s="111" t="s">
        <v>101</v>
      </c>
      <c r="E52" s="112"/>
      <c r="F52" s="112"/>
      <c r="G52" s="112"/>
      <c r="H52" s="112"/>
      <c r="I52" s="112"/>
      <c r="J52" s="112"/>
      <c r="K52" s="113"/>
      <c r="L52" s="13"/>
      <c r="M52" s="19"/>
      <c r="P52" s="92"/>
    </row>
    <row r="53" spans="3:16" s="14" customFormat="1" ht="12.75" x14ac:dyDescent="0.2">
      <c r="C53" s="12"/>
      <c r="D53" s="15" t="s">
        <v>102</v>
      </c>
      <c r="E53" s="16" t="s">
        <v>13</v>
      </c>
      <c r="F53" s="17" t="s">
        <v>103</v>
      </c>
      <c r="G53" s="18">
        <f t="shared" si="0"/>
        <v>5.9576034946236565</v>
      </c>
      <c r="H53" s="18">
        <f>H54+H55+H58+H61</f>
        <v>0.96485483870967736</v>
      </c>
      <c r="I53" s="18">
        <f>I54+I55+I58+I61</f>
        <v>4.708010752688172</v>
      </c>
      <c r="J53" s="18">
        <f>J54+J55+J58+J61</f>
        <v>0.28473790322580644</v>
      </c>
      <c r="K53" s="18">
        <f>K54+K55+K58+K61</f>
        <v>0</v>
      </c>
      <c r="L53" s="13"/>
      <c r="M53" s="19"/>
      <c r="P53" s="91">
        <v>300</v>
      </c>
    </row>
    <row r="54" spans="3:16" s="14" customFormat="1" ht="12.75" x14ac:dyDescent="0.2">
      <c r="C54" s="12"/>
      <c r="D54" s="15" t="s">
        <v>104</v>
      </c>
      <c r="E54" s="20" t="s">
        <v>15</v>
      </c>
      <c r="F54" s="17" t="s">
        <v>105</v>
      </c>
      <c r="G54" s="18">
        <f t="shared" si="0"/>
        <v>0</v>
      </c>
      <c r="H54" s="21"/>
      <c r="I54" s="21"/>
      <c r="J54" s="21"/>
      <c r="K54" s="21"/>
      <c r="L54" s="13"/>
      <c r="M54" s="19"/>
      <c r="P54" s="91">
        <v>310</v>
      </c>
    </row>
    <row r="55" spans="3:16" s="14" customFormat="1" ht="12.75" x14ac:dyDescent="0.2">
      <c r="C55" s="12"/>
      <c r="D55" s="15" t="s">
        <v>106</v>
      </c>
      <c r="E55" s="20" t="s">
        <v>17</v>
      </c>
      <c r="F55" s="17" t="s">
        <v>107</v>
      </c>
      <c r="G55" s="18">
        <f t="shared" si="0"/>
        <v>0</v>
      </c>
      <c r="H55" s="18">
        <f>SUM(H56:H57)</f>
        <v>0</v>
      </c>
      <c r="I55" s="18">
        <f>SUM(I56:I57)</f>
        <v>0</v>
      </c>
      <c r="J55" s="18">
        <f>SUM(J56:J57)</f>
        <v>0</v>
      </c>
      <c r="K55" s="18">
        <f>SUM(K56:K57)</f>
        <v>0</v>
      </c>
      <c r="L55" s="13"/>
      <c r="M55" s="19"/>
      <c r="P55" s="91">
        <v>320</v>
      </c>
    </row>
    <row r="56" spans="3:16" s="14" customFormat="1" ht="12.75" x14ac:dyDescent="0.2">
      <c r="C56" s="12"/>
      <c r="D56" s="22" t="s">
        <v>108</v>
      </c>
      <c r="E56" s="23"/>
      <c r="F56" s="24" t="s">
        <v>107</v>
      </c>
      <c r="G56" s="25"/>
      <c r="H56" s="25"/>
      <c r="I56" s="25"/>
      <c r="J56" s="25"/>
      <c r="K56" s="25"/>
      <c r="L56" s="13"/>
      <c r="M56" s="19"/>
      <c r="P56" s="91"/>
    </row>
    <row r="57" spans="3:16" s="14" customFormat="1" ht="12.75" x14ac:dyDescent="0.2">
      <c r="C57" s="12"/>
      <c r="D57" s="26"/>
      <c r="E57" s="27" t="s">
        <v>20</v>
      </c>
      <c r="F57" s="28"/>
      <c r="G57" s="28"/>
      <c r="H57" s="28"/>
      <c r="I57" s="28"/>
      <c r="J57" s="28"/>
      <c r="K57" s="29"/>
      <c r="L57" s="13"/>
      <c r="M57" s="19"/>
      <c r="P57" s="91"/>
    </row>
    <row r="58" spans="3:16" s="14" customFormat="1" ht="12.75" x14ac:dyDescent="0.2">
      <c r="C58" s="12"/>
      <c r="D58" s="15" t="s">
        <v>109</v>
      </c>
      <c r="E58" s="20" t="s">
        <v>22</v>
      </c>
      <c r="F58" s="17" t="s">
        <v>110</v>
      </c>
      <c r="G58" s="18">
        <f t="shared" si="0"/>
        <v>0</v>
      </c>
      <c r="H58" s="18">
        <f>SUM(H59:H60)</f>
        <v>0</v>
      </c>
      <c r="I58" s="18">
        <f>SUM(I59:I60)</f>
        <v>0</v>
      </c>
      <c r="J58" s="18">
        <f>SUM(J59:J60)</f>
        <v>0</v>
      </c>
      <c r="K58" s="18">
        <f>SUM(K59:K60)</f>
        <v>0</v>
      </c>
      <c r="L58" s="13"/>
      <c r="M58" s="19"/>
      <c r="P58" s="91"/>
    </row>
    <row r="59" spans="3:16" s="14" customFormat="1" ht="12.75" x14ac:dyDescent="0.2">
      <c r="C59" s="12"/>
      <c r="D59" s="22" t="s">
        <v>111</v>
      </c>
      <c r="E59" s="23"/>
      <c r="F59" s="24" t="s">
        <v>110</v>
      </c>
      <c r="G59" s="25"/>
      <c r="H59" s="25"/>
      <c r="I59" s="25"/>
      <c r="J59" s="25"/>
      <c r="K59" s="25"/>
      <c r="L59" s="13"/>
      <c r="M59" s="19"/>
      <c r="P59" s="91"/>
    </row>
    <row r="60" spans="3:16" s="14" customFormat="1" ht="12.75" x14ac:dyDescent="0.2">
      <c r="C60" s="12"/>
      <c r="D60" s="26"/>
      <c r="E60" s="27" t="s">
        <v>20</v>
      </c>
      <c r="F60" s="28"/>
      <c r="G60" s="28"/>
      <c r="H60" s="28"/>
      <c r="I60" s="28"/>
      <c r="J60" s="28"/>
      <c r="K60" s="29"/>
      <c r="L60" s="13"/>
      <c r="M60" s="19"/>
      <c r="P60" s="91"/>
    </row>
    <row r="61" spans="3:16" s="14" customFormat="1" ht="12.75" x14ac:dyDescent="0.2">
      <c r="C61" s="12"/>
      <c r="D61" s="15" t="s">
        <v>112</v>
      </c>
      <c r="E61" s="20" t="s">
        <v>26</v>
      </c>
      <c r="F61" s="17" t="s">
        <v>113</v>
      </c>
      <c r="G61" s="18">
        <f t="shared" si="0"/>
        <v>5.9576034946236565</v>
      </c>
      <c r="H61" s="18">
        <f>SUM(H62:H64)</f>
        <v>0.96485483870967736</v>
      </c>
      <c r="I61" s="18">
        <f>SUM(I62:I64)</f>
        <v>4.708010752688172</v>
      </c>
      <c r="J61" s="18">
        <f>SUM(J62:J64)</f>
        <v>0.28473790322580644</v>
      </c>
      <c r="K61" s="18">
        <f>SUM(K62:K64)</f>
        <v>0</v>
      </c>
      <c r="L61" s="13"/>
      <c r="M61" s="19"/>
      <c r="P61" s="91">
        <v>330</v>
      </c>
    </row>
    <row r="62" spans="3:16" s="14" customFormat="1" ht="12.75" x14ac:dyDescent="0.2">
      <c r="C62" s="12"/>
      <c r="D62" s="22" t="s">
        <v>114</v>
      </c>
      <c r="E62" s="23"/>
      <c r="F62" s="24" t="s">
        <v>113</v>
      </c>
      <c r="G62" s="25"/>
      <c r="H62" s="25"/>
      <c r="I62" s="25"/>
      <c r="J62" s="25"/>
      <c r="K62" s="25"/>
      <c r="L62" s="13"/>
      <c r="M62" s="19"/>
      <c r="P62" s="91"/>
    </row>
    <row r="63" spans="3:16" s="14" customFormat="1" ht="15" x14ac:dyDescent="0.25">
      <c r="C63" s="30" t="s">
        <v>29</v>
      </c>
      <c r="D63" s="31" t="s">
        <v>115</v>
      </c>
      <c r="E63" s="32" t="s">
        <v>31</v>
      </c>
      <c r="F63" s="33">
        <v>1461</v>
      </c>
      <c r="G63" s="34">
        <f>SUM(H63:K63)</f>
        <v>5.9576034946236565</v>
      </c>
      <c r="H63" s="35">
        <f>H25/744</f>
        <v>0.96485483870967736</v>
      </c>
      <c r="I63" s="35">
        <f>I25/744</f>
        <v>4.708010752688172</v>
      </c>
      <c r="J63" s="35">
        <f>J25/744</f>
        <v>0.28473790322580644</v>
      </c>
      <c r="K63" s="35"/>
      <c r="L63" s="13"/>
      <c r="M63" s="37" t="s">
        <v>32</v>
      </c>
      <c r="N63" s="38" t="s">
        <v>33</v>
      </c>
      <c r="O63" s="38" t="s">
        <v>336</v>
      </c>
    </row>
    <row r="64" spans="3:16" s="14" customFormat="1" ht="12.75" x14ac:dyDescent="0.2">
      <c r="C64" s="12"/>
      <c r="D64" s="26"/>
      <c r="E64" s="27" t="s">
        <v>20</v>
      </c>
      <c r="F64" s="28"/>
      <c r="G64" s="28"/>
      <c r="H64" s="28"/>
      <c r="I64" s="28"/>
      <c r="J64" s="28"/>
      <c r="K64" s="29"/>
      <c r="L64" s="13"/>
      <c r="M64" s="19"/>
      <c r="P64" s="91"/>
    </row>
    <row r="65" spans="3:16" s="14" customFormat="1" ht="12.75" x14ac:dyDescent="0.2">
      <c r="C65" s="12"/>
      <c r="D65" s="15" t="s">
        <v>116</v>
      </c>
      <c r="E65" s="16" t="s">
        <v>35</v>
      </c>
      <c r="F65" s="17" t="s">
        <v>117</v>
      </c>
      <c r="G65" s="18">
        <f t="shared" si="0"/>
        <v>2.9688064516129038</v>
      </c>
      <c r="H65" s="18">
        <f>H67+H68+H69</f>
        <v>0</v>
      </c>
      <c r="I65" s="18">
        <f>I66+I68+I69</f>
        <v>0</v>
      </c>
      <c r="J65" s="18">
        <f>J66+J67+J69</f>
        <v>2.0767647849462367</v>
      </c>
      <c r="K65" s="18">
        <f>K66+K67+K68</f>
        <v>0.89204166666666707</v>
      </c>
      <c r="L65" s="13"/>
      <c r="M65" s="19"/>
      <c r="P65" s="91">
        <v>340</v>
      </c>
    </row>
    <row r="66" spans="3:16" s="14" customFormat="1" ht="12.75" x14ac:dyDescent="0.2">
      <c r="C66" s="12"/>
      <c r="D66" s="15" t="s">
        <v>118</v>
      </c>
      <c r="E66" s="20" t="s">
        <v>7</v>
      </c>
      <c r="F66" s="17" t="s">
        <v>119</v>
      </c>
      <c r="G66" s="18">
        <f t="shared" si="0"/>
        <v>0.90006586021505375</v>
      </c>
      <c r="H66" s="39"/>
      <c r="I66" s="21"/>
      <c r="J66" s="21">
        <f>J28/744</f>
        <v>0.90006586021505375</v>
      </c>
      <c r="K66" s="21"/>
      <c r="L66" s="13"/>
      <c r="M66" s="19"/>
      <c r="P66" s="91">
        <v>350</v>
      </c>
    </row>
    <row r="67" spans="3:16" s="14" customFormat="1" ht="12.75" x14ac:dyDescent="0.2">
      <c r="C67" s="12"/>
      <c r="D67" s="15" t="s">
        <v>120</v>
      </c>
      <c r="E67" s="20" t="s">
        <v>8</v>
      </c>
      <c r="F67" s="17" t="s">
        <v>121</v>
      </c>
      <c r="G67" s="18">
        <f t="shared" si="0"/>
        <v>1.176698924731183</v>
      </c>
      <c r="H67" s="21"/>
      <c r="I67" s="46"/>
      <c r="J67" s="21">
        <f>J29/744</f>
        <v>1.176698924731183</v>
      </c>
      <c r="K67" s="21"/>
      <c r="L67" s="13"/>
      <c r="M67" s="19"/>
      <c r="P67" s="91">
        <v>360</v>
      </c>
    </row>
    <row r="68" spans="3:16" s="14" customFormat="1" ht="12.75" x14ac:dyDescent="0.2">
      <c r="C68" s="12"/>
      <c r="D68" s="15" t="s">
        <v>122</v>
      </c>
      <c r="E68" s="20" t="s">
        <v>9</v>
      </c>
      <c r="F68" s="17" t="s">
        <v>123</v>
      </c>
      <c r="G68" s="18">
        <f t="shared" si="0"/>
        <v>0.89204166666666707</v>
      </c>
      <c r="H68" s="21"/>
      <c r="I68" s="21"/>
      <c r="J68" s="39"/>
      <c r="K68" s="21">
        <f>K30/744</f>
        <v>0.89204166666666707</v>
      </c>
      <c r="L68" s="13"/>
      <c r="M68" s="19"/>
      <c r="P68" s="91">
        <v>370</v>
      </c>
    </row>
    <row r="69" spans="3:16" s="14" customFormat="1" ht="12.75" x14ac:dyDescent="0.2">
      <c r="C69" s="12"/>
      <c r="D69" s="15" t="s">
        <v>124</v>
      </c>
      <c r="E69" s="20" t="s">
        <v>44</v>
      </c>
      <c r="F69" s="17" t="s">
        <v>125</v>
      </c>
      <c r="G69" s="18">
        <f t="shared" si="0"/>
        <v>0</v>
      </c>
      <c r="H69" s="21"/>
      <c r="I69" s="21"/>
      <c r="J69" s="21"/>
      <c r="K69" s="39"/>
      <c r="L69" s="13"/>
      <c r="M69" s="19"/>
      <c r="P69" s="91">
        <v>380</v>
      </c>
    </row>
    <row r="70" spans="3:16" s="14" customFormat="1" ht="12.75" x14ac:dyDescent="0.2">
      <c r="C70" s="12"/>
      <c r="D70" s="15" t="s">
        <v>126</v>
      </c>
      <c r="E70" s="40" t="s">
        <v>47</v>
      </c>
      <c r="F70" s="17" t="s">
        <v>127</v>
      </c>
      <c r="G70" s="18">
        <f t="shared" si="0"/>
        <v>0</v>
      </c>
      <c r="H70" s="21"/>
      <c r="I70" s="21"/>
      <c r="J70" s="21"/>
      <c r="K70" s="21"/>
      <c r="L70" s="13"/>
      <c r="M70" s="19"/>
      <c r="P70" s="91"/>
    </row>
    <row r="71" spans="3:16" s="14" customFormat="1" ht="12.75" x14ac:dyDescent="0.2">
      <c r="C71" s="12"/>
      <c r="D71" s="15" t="s">
        <v>128</v>
      </c>
      <c r="E71" s="16" t="s">
        <v>50</v>
      </c>
      <c r="F71" s="41" t="s">
        <v>129</v>
      </c>
      <c r="G71" s="18">
        <f t="shared" si="0"/>
        <v>5.7162056451612901</v>
      </c>
      <c r="H71" s="18">
        <f>H72+H74+H77+H81</f>
        <v>0</v>
      </c>
      <c r="I71" s="18">
        <f>I72+I74+I77+I81</f>
        <v>3.5096223118279575</v>
      </c>
      <c r="J71" s="18">
        <f>J72+J74+J77+J81</f>
        <v>1.4098978494623655</v>
      </c>
      <c r="K71" s="18">
        <f>K72+K74+K77+K81</f>
        <v>0.79668548387096783</v>
      </c>
      <c r="L71" s="13"/>
      <c r="M71" s="19"/>
      <c r="P71" s="91">
        <v>390</v>
      </c>
    </row>
    <row r="72" spans="3:16" s="14" customFormat="1" ht="22.5" x14ac:dyDescent="0.2">
      <c r="C72" s="12"/>
      <c r="D72" s="15" t="s">
        <v>130</v>
      </c>
      <c r="E72" s="20" t="s">
        <v>53</v>
      </c>
      <c r="F72" s="17" t="s">
        <v>131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132</v>
      </c>
      <c r="E73" s="42" t="s">
        <v>56</v>
      </c>
      <c r="F73" s="17" t="s">
        <v>133</v>
      </c>
      <c r="G73" s="18">
        <f t="shared" si="0"/>
        <v>0</v>
      </c>
      <c r="H73" s="21"/>
      <c r="I73" s="21"/>
      <c r="J73" s="21"/>
      <c r="K73" s="21"/>
      <c r="L73" s="13"/>
      <c r="M73" s="19"/>
      <c r="P73" s="91"/>
    </row>
    <row r="74" spans="3:16" s="14" customFormat="1" ht="12.75" x14ac:dyDescent="0.2">
      <c r="C74" s="12"/>
      <c r="D74" s="15" t="s">
        <v>134</v>
      </c>
      <c r="E74" s="20" t="s">
        <v>59</v>
      </c>
      <c r="F74" s="17" t="s">
        <v>135</v>
      </c>
      <c r="G74" s="18">
        <f t="shared" si="0"/>
        <v>3.2292271505376346</v>
      </c>
      <c r="H74" s="21"/>
      <c r="I74" s="21">
        <f>I36/744</f>
        <v>1.0226438172043013</v>
      </c>
      <c r="J74" s="21">
        <f>J36/744</f>
        <v>1.4098978494623655</v>
      </c>
      <c r="K74" s="21">
        <f>K36/744</f>
        <v>0.79668548387096783</v>
      </c>
      <c r="L74" s="13"/>
      <c r="M74" s="19"/>
      <c r="P74" s="91"/>
    </row>
    <row r="75" spans="3:16" s="14" customFormat="1" ht="12.75" x14ac:dyDescent="0.2">
      <c r="C75" s="12"/>
      <c r="D75" s="15" t="s">
        <v>136</v>
      </c>
      <c r="E75" s="42" t="s">
        <v>62</v>
      </c>
      <c r="F75" s="17" t="s">
        <v>137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138</v>
      </c>
      <c r="E76" s="43" t="s">
        <v>56</v>
      </c>
      <c r="F76" s="17" t="s">
        <v>139</v>
      </c>
      <c r="G76" s="18">
        <f t="shared" si="0"/>
        <v>0</v>
      </c>
      <c r="H76" s="21"/>
      <c r="I76" s="21"/>
      <c r="J76" s="21"/>
      <c r="K76" s="21"/>
      <c r="L76" s="13"/>
      <c r="M76" s="19"/>
      <c r="P76" s="91"/>
    </row>
    <row r="77" spans="3:16" s="14" customFormat="1" ht="12.75" x14ac:dyDescent="0.2">
      <c r="C77" s="12"/>
      <c r="D77" s="15" t="s">
        <v>140</v>
      </c>
      <c r="E77" s="20" t="s">
        <v>67</v>
      </c>
      <c r="F77" s="17" t="s">
        <v>141</v>
      </c>
      <c r="G77" s="18">
        <f t="shared" si="0"/>
        <v>2.4869784946236559</v>
      </c>
      <c r="H77" s="18">
        <f>SUM(H78:H80)</f>
        <v>0</v>
      </c>
      <c r="I77" s="18">
        <f>SUM(I78:I80)</f>
        <v>2.4869784946236559</v>
      </c>
      <c r="J77" s="18">
        <f>SUM(J78:J80)</f>
        <v>0</v>
      </c>
      <c r="K77" s="18">
        <f>SUM(K78:K80)</f>
        <v>0</v>
      </c>
      <c r="L77" s="13"/>
      <c r="M77" s="19"/>
      <c r="P77" s="91"/>
    </row>
    <row r="78" spans="3:16" s="14" customFormat="1" ht="12.75" x14ac:dyDescent="0.2">
      <c r="C78" s="12"/>
      <c r="D78" s="22" t="s">
        <v>142</v>
      </c>
      <c r="E78" s="23"/>
      <c r="F78" s="24" t="s">
        <v>141</v>
      </c>
      <c r="G78" s="25"/>
      <c r="H78" s="25"/>
      <c r="I78" s="25"/>
      <c r="J78" s="25"/>
      <c r="K78" s="25"/>
      <c r="L78" s="13"/>
      <c r="M78" s="19"/>
      <c r="P78" s="91"/>
    </row>
    <row r="79" spans="3:16" s="14" customFormat="1" ht="15" x14ac:dyDescent="0.25">
      <c r="C79" s="30" t="s">
        <v>29</v>
      </c>
      <c r="D79" s="31" t="s">
        <v>143</v>
      </c>
      <c r="E79" s="32" t="s">
        <v>71</v>
      </c>
      <c r="F79" s="33">
        <v>1781</v>
      </c>
      <c r="G79" s="34">
        <f>SUM(H79:K79)</f>
        <v>2.4869784946236559</v>
      </c>
      <c r="H79" s="35"/>
      <c r="I79" s="35">
        <f>I41/744</f>
        <v>2.4869784946236559</v>
      </c>
      <c r="J79" s="35"/>
      <c r="K79" s="36"/>
      <c r="L79" s="13"/>
      <c r="M79" s="37" t="s">
        <v>72</v>
      </c>
      <c r="N79" s="38" t="s">
        <v>73</v>
      </c>
      <c r="O79" s="38" t="s">
        <v>337</v>
      </c>
    </row>
    <row r="80" spans="3:16" s="14" customFormat="1" ht="12.75" x14ac:dyDescent="0.2">
      <c r="C80" s="12"/>
      <c r="D80" s="26"/>
      <c r="E80" s="27" t="s">
        <v>20</v>
      </c>
      <c r="F80" s="28"/>
      <c r="G80" s="28"/>
      <c r="H80" s="28"/>
      <c r="I80" s="28"/>
      <c r="J80" s="28"/>
      <c r="K80" s="29"/>
      <c r="L80" s="13"/>
      <c r="M80" s="19"/>
      <c r="P80" s="91"/>
    </row>
    <row r="81" spans="3:16" s="14" customFormat="1" ht="12.75" x14ac:dyDescent="0.2">
      <c r="C81" s="12"/>
      <c r="D81" s="15" t="s">
        <v>144</v>
      </c>
      <c r="E81" s="45" t="s">
        <v>75</v>
      </c>
      <c r="F81" s="17" t="s">
        <v>145</v>
      </c>
      <c r="G81" s="18">
        <f t="shared" si="0"/>
        <v>0</v>
      </c>
      <c r="H81" s="21"/>
      <c r="I81" s="21"/>
      <c r="J81" s="21"/>
      <c r="K81" s="21"/>
      <c r="L81" s="13"/>
      <c r="M81" s="19"/>
      <c r="P81" s="91">
        <v>410</v>
      </c>
    </row>
    <row r="82" spans="3:16" s="14" customFormat="1" ht="12.75" x14ac:dyDescent="0.2">
      <c r="C82" s="12"/>
      <c r="D82" s="15" t="s">
        <v>146</v>
      </c>
      <c r="E82" s="16" t="s">
        <v>78</v>
      </c>
      <c r="F82" s="17" t="s">
        <v>147</v>
      </c>
      <c r="G82" s="18">
        <f t="shared" si="0"/>
        <v>2.9688064516129042</v>
      </c>
      <c r="H82" s="21">
        <f>H44/744</f>
        <v>0.90006586021505375</v>
      </c>
      <c r="I82" s="21">
        <f>I44/744</f>
        <v>1.176698924731183</v>
      </c>
      <c r="J82" s="21">
        <f>J44/744</f>
        <v>0.89204166666666707</v>
      </c>
      <c r="K82" s="21">
        <f>K44/744</f>
        <v>3.8201222352693559E-16</v>
      </c>
      <c r="L82" s="13"/>
      <c r="M82" s="19"/>
      <c r="P82" s="91">
        <v>440</v>
      </c>
    </row>
    <row r="83" spans="3:16" s="14" customFormat="1" ht="12.75" x14ac:dyDescent="0.2">
      <c r="C83" s="12"/>
      <c r="D83" s="15" t="s">
        <v>148</v>
      </c>
      <c r="E83" s="16" t="s">
        <v>81</v>
      </c>
      <c r="F83" s="17" t="s">
        <v>149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450</v>
      </c>
    </row>
    <row r="84" spans="3:16" s="14" customFormat="1" ht="12.75" x14ac:dyDescent="0.2">
      <c r="C84" s="12"/>
      <c r="D84" s="15" t="s">
        <v>150</v>
      </c>
      <c r="E84" s="16" t="s">
        <v>84</v>
      </c>
      <c r="F84" s="17" t="s">
        <v>151</v>
      </c>
      <c r="G84" s="18">
        <f t="shared" si="0"/>
        <v>0</v>
      </c>
      <c r="H84" s="21"/>
      <c r="I84" s="21"/>
      <c r="J84" s="21"/>
      <c r="K84" s="21"/>
      <c r="L84" s="13"/>
      <c r="M84" s="19"/>
      <c r="P84" s="91">
        <v>470</v>
      </c>
    </row>
    <row r="85" spans="3:16" s="14" customFormat="1" ht="12.75" x14ac:dyDescent="0.2">
      <c r="C85" s="12"/>
      <c r="D85" s="15" t="s">
        <v>152</v>
      </c>
      <c r="E85" s="16" t="s">
        <v>87</v>
      </c>
      <c r="F85" s="17" t="s">
        <v>153</v>
      </c>
      <c r="G85" s="18">
        <f t="shared" si="0"/>
        <v>0.24139784946236559</v>
      </c>
      <c r="H85" s="21">
        <f>H47/744</f>
        <v>6.4788978494623659E-2</v>
      </c>
      <c r="I85" s="21">
        <f>I47/744</f>
        <v>2.168951612903226E-2</v>
      </c>
      <c r="J85" s="21">
        <f>J47/744</f>
        <v>5.9563172043010752E-2</v>
      </c>
      <c r="K85" s="21">
        <f>K47/744</f>
        <v>9.5356182795698921E-2</v>
      </c>
      <c r="L85" s="13"/>
      <c r="M85" s="19"/>
      <c r="P85" s="91">
        <v>480</v>
      </c>
    </row>
    <row r="86" spans="3:16" s="14" customFormat="1" ht="12.75" x14ac:dyDescent="0.2">
      <c r="C86" s="12"/>
      <c r="D86" s="15" t="s">
        <v>154</v>
      </c>
      <c r="E86" s="20" t="s">
        <v>155</v>
      </c>
      <c r="F86" s="17" t="s">
        <v>156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490</v>
      </c>
    </row>
    <row r="87" spans="3:16" s="14" customFormat="1" ht="22.5" x14ac:dyDescent="0.2">
      <c r="C87" s="12"/>
      <c r="D87" s="15" t="s">
        <v>157</v>
      </c>
      <c r="E87" s="16" t="s">
        <v>93</v>
      </c>
      <c r="F87" s="17" t="s">
        <v>158</v>
      </c>
      <c r="G87" s="18">
        <f t="shared" si="0"/>
        <v>7.4251344086021492E-2</v>
      </c>
      <c r="H87" s="21"/>
      <c r="I87" s="21">
        <f>I49/744</f>
        <v>1.8325231720430105E-2</v>
      </c>
      <c r="J87" s="21">
        <f>J49/744</f>
        <v>2.445096760752688E-2</v>
      </c>
      <c r="K87" s="21">
        <f>K49/744</f>
        <v>3.1475144758064517E-2</v>
      </c>
      <c r="L87" s="13"/>
      <c r="M87" s="19"/>
      <c r="P87" s="91"/>
    </row>
    <row r="88" spans="3:16" s="14" customFormat="1" ht="33.75" x14ac:dyDescent="0.2">
      <c r="C88" s="12"/>
      <c r="D88" s="15" t="s">
        <v>159</v>
      </c>
      <c r="E88" s="40" t="s">
        <v>96</v>
      </c>
      <c r="F88" s="17" t="s">
        <v>160</v>
      </c>
      <c r="G88" s="18">
        <f t="shared" si="0"/>
        <v>0.1671465053763441</v>
      </c>
      <c r="H88" s="18">
        <f>H85-H87</f>
        <v>6.4788978494623659E-2</v>
      </c>
      <c r="I88" s="18">
        <f>I85-I87</f>
        <v>3.3642844086021542E-3</v>
      </c>
      <c r="J88" s="18">
        <f>J85-J87</f>
        <v>3.5112204435483872E-2</v>
      </c>
      <c r="K88" s="18">
        <f>K85-K87</f>
        <v>6.3881038037634397E-2</v>
      </c>
      <c r="L88" s="13"/>
      <c r="M88" s="19"/>
      <c r="P88" s="91"/>
    </row>
    <row r="89" spans="3:16" s="14" customFormat="1" ht="12.75" x14ac:dyDescent="0.2">
      <c r="C89" s="12"/>
      <c r="D89" s="15" t="s">
        <v>161</v>
      </c>
      <c r="E89" s="16" t="s">
        <v>99</v>
      </c>
      <c r="F89" s="17" t="s">
        <v>162</v>
      </c>
      <c r="G89" s="18">
        <f t="shared" si="0"/>
        <v>0</v>
      </c>
      <c r="H89" s="18">
        <f>(H53+H65+H70)-(H71+H82+H83+H84+H85)</f>
        <v>0</v>
      </c>
      <c r="I89" s="18">
        <f>(I53+I65+I70)-(I71+I82+I83+I84+I85)</f>
        <v>0</v>
      </c>
      <c r="J89" s="18">
        <f>(J53+J65+J70)-(J71+J82+J83+J84+J85)</f>
        <v>0</v>
      </c>
      <c r="K89" s="18">
        <f>(K53+K65+K70)-(K71+K82+K83+K84+K85)</f>
        <v>0</v>
      </c>
      <c r="L89" s="13"/>
      <c r="M89" s="19"/>
      <c r="P89" s="91">
        <v>500</v>
      </c>
    </row>
    <row r="90" spans="3:16" s="14" customFormat="1" ht="12.75" x14ac:dyDescent="0.2">
      <c r="C90" s="12"/>
      <c r="D90" s="111" t="s">
        <v>163</v>
      </c>
      <c r="E90" s="112"/>
      <c r="F90" s="112"/>
      <c r="G90" s="112"/>
      <c r="H90" s="112"/>
      <c r="I90" s="112"/>
      <c r="J90" s="112"/>
      <c r="K90" s="113"/>
      <c r="L90" s="13"/>
      <c r="M90" s="19"/>
      <c r="P90" s="92"/>
    </row>
    <row r="91" spans="3:16" s="14" customFormat="1" ht="12.75" x14ac:dyDescent="0.2">
      <c r="C91" s="12"/>
      <c r="D91" s="15" t="s">
        <v>164</v>
      </c>
      <c r="E91" s="16" t="s">
        <v>165</v>
      </c>
      <c r="F91" s="17" t="s">
        <v>166</v>
      </c>
      <c r="G91" s="18">
        <f t="shared" si="0"/>
        <v>0</v>
      </c>
      <c r="H91" s="21"/>
      <c r="I91" s="21"/>
      <c r="J91" s="21"/>
      <c r="K91" s="21"/>
      <c r="L91" s="13"/>
      <c r="M91" s="19"/>
      <c r="P91" s="91">
        <v>600</v>
      </c>
    </row>
    <row r="92" spans="3:16" s="14" customFormat="1" ht="12.75" x14ac:dyDescent="0.2">
      <c r="C92" s="12"/>
      <c r="D92" s="15" t="s">
        <v>167</v>
      </c>
      <c r="E92" s="16" t="s">
        <v>168</v>
      </c>
      <c r="F92" s="17" t="s">
        <v>169</v>
      </c>
      <c r="G92" s="18">
        <f t="shared" si="0"/>
        <v>25.006</v>
      </c>
      <c r="H92" s="21"/>
      <c r="I92" s="21">
        <v>25.006</v>
      </c>
      <c r="J92" s="21"/>
      <c r="K92" s="21"/>
      <c r="L92" s="13"/>
      <c r="M92" s="19"/>
      <c r="P92" s="91">
        <v>610</v>
      </c>
    </row>
    <row r="93" spans="3:16" s="14" customFormat="1" ht="12.75" x14ac:dyDescent="0.2">
      <c r="C93" s="12"/>
      <c r="D93" s="15" t="s">
        <v>170</v>
      </c>
      <c r="E93" s="16" t="s">
        <v>171</v>
      </c>
      <c r="F93" s="17" t="s">
        <v>172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620</v>
      </c>
    </row>
    <row r="94" spans="3:16" s="14" customFormat="1" ht="12.75" x14ac:dyDescent="0.2">
      <c r="C94" s="12"/>
      <c r="D94" s="111" t="s">
        <v>173</v>
      </c>
      <c r="E94" s="112"/>
      <c r="F94" s="112"/>
      <c r="G94" s="112"/>
      <c r="H94" s="112"/>
      <c r="I94" s="112"/>
      <c r="J94" s="112"/>
      <c r="K94" s="113"/>
      <c r="L94" s="13"/>
      <c r="M94" s="19"/>
      <c r="P94" s="92"/>
    </row>
    <row r="95" spans="3:16" s="14" customFormat="1" ht="12.75" x14ac:dyDescent="0.2">
      <c r="C95" s="12"/>
      <c r="D95" s="15" t="s">
        <v>174</v>
      </c>
      <c r="E95" s="16" t="s">
        <v>175</v>
      </c>
      <c r="F95" s="17" t="s">
        <v>176</v>
      </c>
      <c r="G95" s="18">
        <f t="shared" si="0"/>
        <v>0</v>
      </c>
      <c r="H95" s="18">
        <f>SUM(H96:H97)</f>
        <v>0</v>
      </c>
      <c r="I95" s="18">
        <f>SUM(I96:I97)</f>
        <v>0</v>
      </c>
      <c r="J95" s="18">
        <f>SUM(J96:J97)</f>
        <v>0</v>
      </c>
      <c r="K95" s="18">
        <f>SUM(K96:K97)</f>
        <v>0</v>
      </c>
      <c r="L95" s="13"/>
      <c r="M95" s="19"/>
      <c r="P95" s="91">
        <v>700</v>
      </c>
    </row>
    <row r="96" spans="3:16" ht="12.75" x14ac:dyDescent="0.2">
      <c r="C96" s="2"/>
      <c r="D96" s="47" t="s">
        <v>177</v>
      </c>
      <c r="E96" s="20" t="s">
        <v>178</v>
      </c>
      <c r="F96" s="17" t="s">
        <v>179</v>
      </c>
      <c r="G96" s="18">
        <f t="shared" si="0"/>
        <v>0</v>
      </c>
      <c r="H96" s="48"/>
      <c r="I96" s="48"/>
      <c r="J96" s="48"/>
      <c r="K96" s="48"/>
      <c r="L96" s="8"/>
      <c r="M96" s="19"/>
      <c r="P96" s="91">
        <v>710</v>
      </c>
    </row>
    <row r="97" spans="3:16" ht="12.75" x14ac:dyDescent="0.2">
      <c r="C97" s="2"/>
      <c r="D97" s="47" t="s">
        <v>180</v>
      </c>
      <c r="E97" s="20" t="s">
        <v>181</v>
      </c>
      <c r="F97" s="17" t="s">
        <v>182</v>
      </c>
      <c r="G97" s="18">
        <f t="shared" si="0"/>
        <v>0</v>
      </c>
      <c r="H97" s="49">
        <f>H100</f>
        <v>0</v>
      </c>
      <c r="I97" s="49">
        <f>I100</f>
        <v>0</v>
      </c>
      <c r="J97" s="49">
        <f>J100</f>
        <v>0</v>
      </c>
      <c r="K97" s="49">
        <f>K100</f>
        <v>0</v>
      </c>
      <c r="L97" s="8"/>
      <c r="M97" s="19"/>
      <c r="P97" s="91">
        <v>720</v>
      </c>
    </row>
    <row r="98" spans="3:16" ht="12.75" x14ac:dyDescent="0.2">
      <c r="C98" s="2"/>
      <c r="D98" s="47" t="s">
        <v>183</v>
      </c>
      <c r="E98" s="42" t="s">
        <v>184</v>
      </c>
      <c r="F98" s="17" t="s">
        <v>185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730</v>
      </c>
    </row>
    <row r="99" spans="3:16" ht="12.75" x14ac:dyDescent="0.2">
      <c r="C99" s="2"/>
      <c r="D99" s="47" t="s">
        <v>186</v>
      </c>
      <c r="E99" s="43" t="s">
        <v>187</v>
      </c>
      <c r="F99" s="17" t="s">
        <v>188</v>
      </c>
      <c r="G99" s="18">
        <f t="shared" si="0"/>
        <v>0</v>
      </c>
      <c r="H99" s="48"/>
      <c r="I99" s="48"/>
      <c r="J99" s="48"/>
      <c r="K99" s="48"/>
      <c r="L99" s="8"/>
      <c r="M99" s="19"/>
      <c r="P99" s="91"/>
    </row>
    <row r="100" spans="3:16" ht="12.75" x14ac:dyDescent="0.2">
      <c r="C100" s="2"/>
      <c r="D100" s="47" t="s">
        <v>189</v>
      </c>
      <c r="E100" s="42" t="s">
        <v>190</v>
      </c>
      <c r="F100" s="17" t="s">
        <v>191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740</v>
      </c>
    </row>
    <row r="101" spans="3:16" ht="12.75" x14ac:dyDescent="0.2">
      <c r="C101" s="2"/>
      <c r="D101" s="47" t="s">
        <v>192</v>
      </c>
      <c r="E101" s="16" t="s">
        <v>193</v>
      </c>
      <c r="F101" s="17" t="s">
        <v>194</v>
      </c>
      <c r="G101" s="18">
        <f t="shared" si="0"/>
        <v>0</v>
      </c>
      <c r="H101" s="49">
        <f>H102+H118</f>
        <v>0</v>
      </c>
      <c r="I101" s="49">
        <f>I102+I118</f>
        <v>0</v>
      </c>
      <c r="J101" s="49">
        <f>J102+J118</f>
        <v>0</v>
      </c>
      <c r="K101" s="49">
        <f>K102+K118</f>
        <v>0</v>
      </c>
      <c r="L101" s="8"/>
      <c r="M101" s="19"/>
      <c r="P101" s="91">
        <v>750</v>
      </c>
    </row>
    <row r="102" spans="3:16" ht="12.75" x14ac:dyDescent="0.2">
      <c r="C102" s="2"/>
      <c r="D102" s="47" t="s">
        <v>195</v>
      </c>
      <c r="E102" s="20" t="s">
        <v>196</v>
      </c>
      <c r="F102" s="17" t="s">
        <v>197</v>
      </c>
      <c r="G102" s="18">
        <f t="shared" si="0"/>
        <v>0</v>
      </c>
      <c r="H102" s="49">
        <f>H103+H104</f>
        <v>0</v>
      </c>
      <c r="I102" s="49">
        <f>I103+I104</f>
        <v>0</v>
      </c>
      <c r="J102" s="49">
        <f>J103+J104</f>
        <v>0</v>
      </c>
      <c r="K102" s="49">
        <f>K103+K104</f>
        <v>0</v>
      </c>
      <c r="L102" s="8"/>
      <c r="M102" s="19"/>
      <c r="P102" s="91">
        <v>760</v>
      </c>
    </row>
    <row r="103" spans="3:16" ht="12.75" x14ac:dyDescent="0.2">
      <c r="C103" s="2"/>
      <c r="D103" s="47" t="s">
        <v>198</v>
      </c>
      <c r="E103" s="42" t="s">
        <v>199</v>
      </c>
      <c r="F103" s="17" t="s">
        <v>200</v>
      </c>
      <c r="G103" s="18">
        <f t="shared" si="0"/>
        <v>0</v>
      </c>
      <c r="H103" s="48"/>
      <c r="I103" s="48"/>
      <c r="J103" s="48"/>
      <c r="K103" s="48"/>
      <c r="L103" s="8"/>
      <c r="M103" s="19"/>
      <c r="P103" s="91"/>
    </row>
    <row r="104" spans="3:16" ht="12.75" x14ac:dyDescent="0.2">
      <c r="C104" s="2"/>
      <c r="D104" s="47" t="s">
        <v>201</v>
      </c>
      <c r="E104" s="42" t="s">
        <v>202</v>
      </c>
      <c r="F104" s="17" t="s">
        <v>203</v>
      </c>
      <c r="G104" s="18">
        <f t="shared" si="0"/>
        <v>0</v>
      </c>
      <c r="H104" s="49">
        <f>H105+H108+H111+H114+H115+H116+H117</f>
        <v>0</v>
      </c>
      <c r="I104" s="49">
        <f>I105+I108+I111+I114+I115+I116+I117</f>
        <v>0</v>
      </c>
      <c r="J104" s="49">
        <f>J105+J108+J111+J114+J115+J116+J117</f>
        <v>0</v>
      </c>
      <c r="K104" s="49">
        <f>K105+K108+K111+K114+K115+K116+K117</f>
        <v>0</v>
      </c>
      <c r="L104" s="8"/>
      <c r="M104" s="19"/>
      <c r="P104" s="91"/>
    </row>
    <row r="105" spans="3:16" ht="45" x14ac:dyDescent="0.2">
      <c r="C105" s="2"/>
      <c r="D105" s="47" t="s">
        <v>204</v>
      </c>
      <c r="E105" s="43" t="s">
        <v>205</v>
      </c>
      <c r="F105" s="17" t="s">
        <v>206</v>
      </c>
      <c r="G105" s="18">
        <f t="shared" si="0"/>
        <v>0</v>
      </c>
      <c r="H105" s="50">
        <f>H106+H107</f>
        <v>0</v>
      </c>
      <c r="I105" s="50">
        <f>I106+I107</f>
        <v>0</v>
      </c>
      <c r="J105" s="50">
        <f>J106+J107</f>
        <v>0</v>
      </c>
      <c r="K105" s="50">
        <f>K106+K107</f>
        <v>0</v>
      </c>
      <c r="L105" s="8"/>
      <c r="M105" s="19"/>
      <c r="P105" s="91"/>
    </row>
    <row r="106" spans="3:16" ht="12.75" x14ac:dyDescent="0.2">
      <c r="C106" s="2"/>
      <c r="D106" s="47" t="s">
        <v>207</v>
      </c>
      <c r="E106" s="51" t="s">
        <v>208</v>
      </c>
      <c r="F106" s="17" t="s">
        <v>209</v>
      </c>
      <c r="G106" s="18">
        <f t="shared" si="0"/>
        <v>0</v>
      </c>
      <c r="H106" s="48"/>
      <c r="I106" s="48"/>
      <c r="J106" s="48"/>
      <c r="K106" s="48"/>
      <c r="L106" s="8"/>
      <c r="M106" s="19"/>
      <c r="P106" s="91"/>
    </row>
    <row r="107" spans="3:16" ht="12.75" x14ac:dyDescent="0.2">
      <c r="C107" s="2"/>
      <c r="D107" s="47" t="s">
        <v>210</v>
      </c>
      <c r="E107" s="51" t="s">
        <v>211</v>
      </c>
      <c r="F107" s="17" t="s">
        <v>212</v>
      </c>
      <c r="G107" s="18">
        <f t="shared" si="0"/>
        <v>0</v>
      </c>
      <c r="H107" s="48"/>
      <c r="I107" s="48"/>
      <c r="J107" s="48"/>
      <c r="K107" s="48"/>
      <c r="L107" s="8"/>
      <c r="M107" s="19"/>
      <c r="P107" s="91"/>
    </row>
    <row r="108" spans="3:16" ht="45" x14ac:dyDescent="0.2">
      <c r="C108" s="2"/>
      <c r="D108" s="47" t="s">
        <v>213</v>
      </c>
      <c r="E108" s="43" t="s">
        <v>214</v>
      </c>
      <c r="F108" s="17" t="s">
        <v>215</v>
      </c>
      <c r="G108" s="18">
        <f t="shared" si="0"/>
        <v>0</v>
      </c>
      <c r="H108" s="50">
        <f>H109+H110</f>
        <v>0</v>
      </c>
      <c r="I108" s="50">
        <f>I109+I110</f>
        <v>0</v>
      </c>
      <c r="J108" s="50">
        <f>J109+J110</f>
        <v>0</v>
      </c>
      <c r="K108" s="50">
        <f>K109+K110</f>
        <v>0</v>
      </c>
      <c r="L108" s="8"/>
      <c r="M108" s="19"/>
      <c r="P108" s="91"/>
    </row>
    <row r="109" spans="3:16" ht="12.75" x14ac:dyDescent="0.2">
      <c r="C109" s="2"/>
      <c r="D109" s="47" t="s">
        <v>216</v>
      </c>
      <c r="E109" s="51" t="s">
        <v>208</v>
      </c>
      <c r="F109" s="17" t="s">
        <v>217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12.75" x14ac:dyDescent="0.2">
      <c r="C110" s="2"/>
      <c r="D110" s="47" t="s">
        <v>218</v>
      </c>
      <c r="E110" s="51" t="s">
        <v>211</v>
      </c>
      <c r="F110" s="17" t="s">
        <v>219</v>
      </c>
      <c r="G110" s="18">
        <f t="shared" si="0"/>
        <v>0</v>
      </c>
      <c r="H110" s="48"/>
      <c r="I110" s="48"/>
      <c r="J110" s="48"/>
      <c r="K110" s="48"/>
      <c r="L110" s="8"/>
      <c r="M110" s="19"/>
      <c r="P110" s="91"/>
    </row>
    <row r="111" spans="3:16" ht="22.5" x14ac:dyDescent="0.2">
      <c r="C111" s="2"/>
      <c r="D111" s="47" t="s">
        <v>220</v>
      </c>
      <c r="E111" s="43" t="s">
        <v>221</v>
      </c>
      <c r="F111" s="17" t="s">
        <v>222</v>
      </c>
      <c r="G111" s="18">
        <f t="shared" si="0"/>
        <v>0</v>
      </c>
      <c r="H111" s="50">
        <f>H112+H113</f>
        <v>0</v>
      </c>
      <c r="I111" s="50">
        <f>I112+I113</f>
        <v>0</v>
      </c>
      <c r="J111" s="50">
        <f>J112+J113</f>
        <v>0</v>
      </c>
      <c r="K111" s="50">
        <f>K112+K113</f>
        <v>0</v>
      </c>
      <c r="L111" s="8"/>
      <c r="M111" s="19"/>
      <c r="P111" s="91"/>
    </row>
    <row r="112" spans="3:16" ht="12.75" x14ac:dyDescent="0.2">
      <c r="C112" s="2"/>
      <c r="D112" s="47" t="s">
        <v>223</v>
      </c>
      <c r="E112" s="51" t="s">
        <v>208</v>
      </c>
      <c r="F112" s="17" t="s">
        <v>224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12.75" x14ac:dyDescent="0.2">
      <c r="C113" s="2"/>
      <c r="D113" s="47" t="s">
        <v>225</v>
      </c>
      <c r="E113" s="51" t="s">
        <v>211</v>
      </c>
      <c r="F113" s="17" t="s">
        <v>226</v>
      </c>
      <c r="G113" s="18">
        <f t="shared" si="0"/>
        <v>0</v>
      </c>
      <c r="H113" s="48"/>
      <c r="I113" s="48"/>
      <c r="J113" s="48"/>
      <c r="K113" s="48"/>
      <c r="L113" s="8"/>
      <c r="M113" s="19"/>
      <c r="P113" s="91"/>
    </row>
    <row r="114" spans="3:16" ht="22.5" x14ac:dyDescent="0.2">
      <c r="C114" s="2"/>
      <c r="D114" s="47" t="s">
        <v>227</v>
      </c>
      <c r="E114" s="43" t="s">
        <v>228</v>
      </c>
      <c r="F114" s="17" t="s">
        <v>229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230</v>
      </c>
      <c r="E115" s="43" t="s">
        <v>231</v>
      </c>
      <c r="F115" s="17" t="s">
        <v>232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45" x14ac:dyDescent="0.2">
      <c r="C116" s="2"/>
      <c r="D116" s="47" t="s">
        <v>233</v>
      </c>
      <c r="E116" s="43" t="s">
        <v>234</v>
      </c>
      <c r="F116" s="17" t="s">
        <v>235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22.5" x14ac:dyDescent="0.2">
      <c r="C117" s="2"/>
      <c r="D117" s="47" t="s">
        <v>236</v>
      </c>
      <c r="E117" s="43" t="s">
        <v>237</v>
      </c>
      <c r="F117" s="17" t="s">
        <v>238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12.75" x14ac:dyDescent="0.2">
      <c r="C118" s="2"/>
      <c r="D118" s="47" t="s">
        <v>239</v>
      </c>
      <c r="E118" s="20" t="s">
        <v>240</v>
      </c>
      <c r="F118" s="17" t="s">
        <v>241</v>
      </c>
      <c r="G118" s="18">
        <f t="shared" si="0"/>
        <v>0</v>
      </c>
      <c r="H118" s="49">
        <f>H121</f>
        <v>0</v>
      </c>
      <c r="I118" s="49">
        <f>I121</f>
        <v>0</v>
      </c>
      <c r="J118" s="49">
        <f>J121</f>
        <v>0</v>
      </c>
      <c r="K118" s="49">
        <f>K121</f>
        <v>0</v>
      </c>
      <c r="L118" s="8"/>
      <c r="M118" s="19"/>
      <c r="P118" s="91">
        <v>770</v>
      </c>
    </row>
    <row r="119" spans="3:16" ht="12.75" x14ac:dyDescent="0.2">
      <c r="C119" s="2"/>
      <c r="D119" s="47" t="s">
        <v>242</v>
      </c>
      <c r="E119" s="42" t="s">
        <v>184</v>
      </c>
      <c r="F119" s="17" t="s">
        <v>243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>
        <v>780</v>
      </c>
    </row>
    <row r="120" spans="3:16" ht="12.75" x14ac:dyDescent="0.2">
      <c r="C120" s="2"/>
      <c r="D120" s="47" t="s">
        <v>244</v>
      </c>
      <c r="E120" s="43" t="s">
        <v>245</v>
      </c>
      <c r="F120" s="17" t="s">
        <v>246</v>
      </c>
      <c r="G120" s="18">
        <f t="shared" si="0"/>
        <v>0</v>
      </c>
      <c r="H120" s="48"/>
      <c r="I120" s="48"/>
      <c r="J120" s="48"/>
      <c r="K120" s="48"/>
      <c r="L120" s="8"/>
      <c r="M120" s="19"/>
      <c r="P120" s="91"/>
    </row>
    <row r="121" spans="3:16" ht="12.75" x14ac:dyDescent="0.2">
      <c r="C121" s="2"/>
      <c r="D121" s="47" t="s">
        <v>247</v>
      </c>
      <c r="E121" s="42" t="s">
        <v>190</v>
      </c>
      <c r="F121" s="17" t="s">
        <v>248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790</v>
      </c>
    </row>
    <row r="122" spans="3:16" ht="22.5" x14ac:dyDescent="0.2">
      <c r="C122" s="2"/>
      <c r="D122" s="47" t="s">
        <v>249</v>
      </c>
      <c r="E122" s="40" t="s">
        <v>250</v>
      </c>
      <c r="F122" s="17" t="s">
        <v>251</v>
      </c>
      <c r="G122" s="18">
        <f t="shared" si="0"/>
        <v>4432.4570000000003</v>
      </c>
      <c r="H122" s="49">
        <f>SUM(H123:H124)</f>
        <v>48.203000000000003</v>
      </c>
      <c r="I122" s="49">
        <f>SUM(I123:I124)</f>
        <v>2738.9639999999999</v>
      </c>
      <c r="J122" s="49">
        <f>SUM(J123:J124)</f>
        <v>1052.556</v>
      </c>
      <c r="K122" s="49">
        <f>SUM(K123:K124)</f>
        <v>592.73400000000004</v>
      </c>
      <c r="L122" s="8"/>
      <c r="M122" s="19"/>
      <c r="P122" s="91"/>
    </row>
    <row r="123" spans="3:16" ht="12.75" x14ac:dyDescent="0.2">
      <c r="C123" s="2"/>
      <c r="D123" s="47" t="s">
        <v>252</v>
      </c>
      <c r="E123" s="20" t="s">
        <v>178</v>
      </c>
      <c r="F123" s="17" t="s">
        <v>253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/>
    </row>
    <row r="124" spans="3:16" ht="12.75" x14ac:dyDescent="0.2">
      <c r="C124" s="2"/>
      <c r="D124" s="47" t="s">
        <v>254</v>
      </c>
      <c r="E124" s="20" t="s">
        <v>181</v>
      </c>
      <c r="F124" s="17" t="s">
        <v>255</v>
      </c>
      <c r="G124" s="18">
        <f t="shared" si="0"/>
        <v>4432.4570000000003</v>
      </c>
      <c r="H124" s="49">
        <f>H126</f>
        <v>48.203000000000003</v>
      </c>
      <c r="I124" s="49">
        <f>I126</f>
        <v>2738.9639999999999</v>
      </c>
      <c r="J124" s="49">
        <f>J126</f>
        <v>1052.556</v>
      </c>
      <c r="K124" s="49">
        <f>K126</f>
        <v>592.73400000000004</v>
      </c>
      <c r="L124" s="8"/>
      <c r="M124" s="19"/>
      <c r="P124" s="91"/>
    </row>
    <row r="125" spans="3:16" ht="12.75" x14ac:dyDescent="0.2">
      <c r="C125" s="2"/>
      <c r="D125" s="47" t="s">
        <v>256</v>
      </c>
      <c r="E125" s="42" t="s">
        <v>257</v>
      </c>
      <c r="F125" s="17" t="s">
        <v>258</v>
      </c>
      <c r="G125" s="18">
        <f t="shared" si="0"/>
        <v>25.006</v>
      </c>
      <c r="H125" s="48"/>
      <c r="I125" s="48">
        <f>I92</f>
        <v>25.006</v>
      </c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259</v>
      </c>
      <c r="E126" s="42" t="s">
        <v>190</v>
      </c>
      <c r="F126" s="17" t="s">
        <v>260</v>
      </c>
      <c r="G126" s="18">
        <f t="shared" si="0"/>
        <v>4432.4570000000003</v>
      </c>
      <c r="H126" s="48">
        <f>H47</f>
        <v>48.203000000000003</v>
      </c>
      <c r="I126" s="48">
        <f>I33+127.805</f>
        <v>2738.9639999999999</v>
      </c>
      <c r="J126" s="48">
        <f>J33+3.592</f>
        <v>1052.556</v>
      </c>
      <c r="K126" s="48">
        <f>K33</f>
        <v>592.73400000000004</v>
      </c>
      <c r="L126" s="8"/>
      <c r="M126" s="19"/>
      <c r="P126" s="91"/>
    </row>
    <row r="127" spans="3:16" ht="12.75" x14ac:dyDescent="0.2">
      <c r="C127" s="2"/>
      <c r="D127" s="111" t="s">
        <v>261</v>
      </c>
      <c r="E127" s="112"/>
      <c r="F127" s="112"/>
      <c r="G127" s="112"/>
      <c r="H127" s="112"/>
      <c r="I127" s="112"/>
      <c r="J127" s="112"/>
      <c r="K127" s="113"/>
      <c r="L127" s="8"/>
      <c r="M127" s="19"/>
      <c r="P127" s="93"/>
    </row>
    <row r="128" spans="3:16" ht="22.5" x14ac:dyDescent="0.2">
      <c r="C128" s="2"/>
      <c r="D128" s="47" t="s">
        <v>262</v>
      </c>
      <c r="E128" s="16" t="s">
        <v>263</v>
      </c>
      <c r="F128" s="17" t="s">
        <v>264</v>
      </c>
      <c r="G128" s="18">
        <f t="shared" si="0"/>
        <v>0</v>
      </c>
      <c r="H128" s="49">
        <f>SUM( H129:H130)</f>
        <v>0</v>
      </c>
      <c r="I128" s="49">
        <f>SUM( I129:I130)</f>
        <v>0</v>
      </c>
      <c r="J128" s="49">
        <f>SUM( J129:J130)</f>
        <v>0</v>
      </c>
      <c r="K128" s="49">
        <f>SUM( K129:K130)</f>
        <v>0</v>
      </c>
      <c r="L128" s="8"/>
      <c r="M128" s="19"/>
      <c r="P128" s="91">
        <v>800</v>
      </c>
    </row>
    <row r="129" spans="3:16" ht="12.75" x14ac:dyDescent="0.2">
      <c r="C129" s="2"/>
      <c r="D129" s="47" t="s">
        <v>265</v>
      </c>
      <c r="E129" s="20" t="s">
        <v>178</v>
      </c>
      <c r="F129" s="17" t="s">
        <v>266</v>
      </c>
      <c r="G129" s="18">
        <f t="shared" si="0"/>
        <v>0</v>
      </c>
      <c r="H129" s="48"/>
      <c r="I129" s="48"/>
      <c r="J129" s="48"/>
      <c r="K129" s="48"/>
      <c r="L129" s="8"/>
      <c r="M129" s="19"/>
      <c r="P129" s="91">
        <v>810</v>
      </c>
    </row>
    <row r="130" spans="3:16" ht="12.75" x14ac:dyDescent="0.2">
      <c r="C130" s="2"/>
      <c r="D130" s="47" t="s">
        <v>267</v>
      </c>
      <c r="E130" s="20" t="s">
        <v>181</v>
      </c>
      <c r="F130" s="17" t="s">
        <v>268</v>
      </c>
      <c r="G130" s="18">
        <f t="shared" si="0"/>
        <v>0</v>
      </c>
      <c r="H130" s="49">
        <f>H131+H133</f>
        <v>0</v>
      </c>
      <c r="I130" s="49">
        <f>I131+I133</f>
        <v>0</v>
      </c>
      <c r="J130" s="49">
        <f>J131+J133</f>
        <v>0</v>
      </c>
      <c r="K130" s="49">
        <f>K131+K133</f>
        <v>0</v>
      </c>
      <c r="L130" s="8"/>
      <c r="M130" s="19"/>
      <c r="P130" s="91">
        <v>820</v>
      </c>
    </row>
    <row r="131" spans="3:16" ht="12.75" x14ac:dyDescent="0.2">
      <c r="C131" s="2"/>
      <c r="D131" s="47" t="s">
        <v>269</v>
      </c>
      <c r="E131" s="42" t="s">
        <v>270</v>
      </c>
      <c r="F131" s="17" t="s">
        <v>271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830</v>
      </c>
    </row>
    <row r="132" spans="3:16" ht="12.75" x14ac:dyDescent="0.2">
      <c r="C132" s="2"/>
      <c r="D132" s="47" t="s">
        <v>272</v>
      </c>
      <c r="E132" s="43" t="s">
        <v>273</v>
      </c>
      <c r="F132" s="17" t="s">
        <v>274</v>
      </c>
      <c r="G132" s="18">
        <f t="shared" si="0"/>
        <v>0</v>
      </c>
      <c r="H132" s="48"/>
      <c r="I132" s="48"/>
      <c r="J132" s="48"/>
      <c r="K132" s="48"/>
      <c r="L132" s="8"/>
      <c r="M132" s="19"/>
      <c r="P132" s="93"/>
    </row>
    <row r="133" spans="3:16" ht="12.75" x14ac:dyDescent="0.2">
      <c r="C133" s="2"/>
      <c r="D133" s="47" t="s">
        <v>275</v>
      </c>
      <c r="E133" s="42" t="s">
        <v>276</v>
      </c>
      <c r="F133" s="17" t="s">
        <v>277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840</v>
      </c>
    </row>
    <row r="134" spans="3:16" ht="12.75" x14ac:dyDescent="0.2">
      <c r="C134" s="2"/>
      <c r="D134" s="47" t="s">
        <v>19</v>
      </c>
      <c r="E134" s="16" t="s">
        <v>278</v>
      </c>
      <c r="F134" s="17" t="s">
        <v>279</v>
      </c>
      <c r="G134" s="18">
        <f t="shared" si="0"/>
        <v>0</v>
      </c>
      <c r="H134" s="50">
        <f>SUM( H135+H140)</f>
        <v>0</v>
      </c>
      <c r="I134" s="50">
        <f>SUM( I135+I140)</f>
        <v>0</v>
      </c>
      <c r="J134" s="50">
        <f>SUM( J135+J140)</f>
        <v>0</v>
      </c>
      <c r="K134" s="50">
        <f>SUM( K135+K140)</f>
        <v>0</v>
      </c>
      <c r="L134" s="52"/>
      <c r="M134" s="19"/>
      <c r="P134" s="91">
        <v>850</v>
      </c>
    </row>
    <row r="135" spans="3:16" ht="12.75" x14ac:dyDescent="0.2">
      <c r="C135" s="2"/>
      <c r="D135" s="47" t="s">
        <v>280</v>
      </c>
      <c r="E135" s="20" t="s">
        <v>178</v>
      </c>
      <c r="F135" s="17" t="s">
        <v>281</v>
      </c>
      <c r="G135" s="18">
        <f t="shared" ref="G135:G148" si="1">SUM(H135:K135)</f>
        <v>0</v>
      </c>
      <c r="H135" s="50">
        <f>SUM( H136:H137)</f>
        <v>0</v>
      </c>
      <c r="I135" s="50">
        <f>SUM( I136:I137)</f>
        <v>0</v>
      </c>
      <c r="J135" s="50">
        <f>SUM( J136:J137)</f>
        <v>0</v>
      </c>
      <c r="K135" s="50">
        <f>SUM( K136:K137)</f>
        <v>0</v>
      </c>
      <c r="L135" s="52"/>
      <c r="M135" s="19"/>
      <c r="P135" s="91">
        <v>860</v>
      </c>
    </row>
    <row r="136" spans="3:16" ht="12.75" x14ac:dyDescent="0.2">
      <c r="C136" s="2"/>
      <c r="D136" s="47" t="s">
        <v>282</v>
      </c>
      <c r="E136" s="42" t="s">
        <v>199</v>
      </c>
      <c r="F136" s="17" t="s">
        <v>283</v>
      </c>
      <c r="G136" s="18">
        <f t="shared" si="1"/>
        <v>0</v>
      </c>
      <c r="H136" s="53"/>
      <c r="I136" s="53"/>
      <c r="J136" s="53"/>
      <c r="K136" s="53"/>
      <c r="L136" s="52"/>
      <c r="M136" s="19"/>
      <c r="P136" s="91"/>
    </row>
    <row r="137" spans="3:16" ht="12.75" x14ac:dyDescent="0.2">
      <c r="C137" s="2"/>
      <c r="D137" s="47" t="s">
        <v>284</v>
      </c>
      <c r="E137" s="42" t="s">
        <v>202</v>
      </c>
      <c r="F137" s="17" t="s">
        <v>285</v>
      </c>
      <c r="G137" s="18">
        <f t="shared" si="1"/>
        <v>0</v>
      </c>
      <c r="H137" s="50">
        <f>H138+H139</f>
        <v>0</v>
      </c>
      <c r="I137" s="50">
        <f>I138+I139</f>
        <v>0</v>
      </c>
      <c r="J137" s="50">
        <f>J138+J139</f>
        <v>0</v>
      </c>
      <c r="K137" s="50">
        <f>K138+K139</f>
        <v>0</v>
      </c>
      <c r="L137" s="52"/>
      <c r="M137" s="19"/>
      <c r="P137" s="91"/>
    </row>
    <row r="138" spans="3:16" ht="12.75" x14ac:dyDescent="0.2">
      <c r="C138" s="2"/>
      <c r="D138" s="47" t="s">
        <v>286</v>
      </c>
      <c r="E138" s="43" t="s">
        <v>208</v>
      </c>
      <c r="F138" s="17" t="s">
        <v>287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288</v>
      </c>
      <c r="E139" s="43" t="s">
        <v>289</v>
      </c>
      <c r="F139" s="17" t="s">
        <v>290</v>
      </c>
      <c r="G139" s="18">
        <f t="shared" si="1"/>
        <v>0</v>
      </c>
      <c r="H139" s="53"/>
      <c r="I139" s="53"/>
      <c r="J139" s="53"/>
      <c r="K139" s="53"/>
      <c r="L139" s="52"/>
      <c r="M139" s="19"/>
      <c r="P139" s="91"/>
    </row>
    <row r="140" spans="3:16" ht="12.75" x14ac:dyDescent="0.2">
      <c r="C140" s="2"/>
      <c r="D140" s="47" t="s">
        <v>291</v>
      </c>
      <c r="E140" s="20" t="s">
        <v>240</v>
      </c>
      <c r="F140" s="17" t="s">
        <v>292</v>
      </c>
      <c r="G140" s="18">
        <f t="shared" si="1"/>
        <v>0</v>
      </c>
      <c r="H140" s="50">
        <f>H141+H143</f>
        <v>0</v>
      </c>
      <c r="I140" s="50">
        <f>I141+I143</f>
        <v>0</v>
      </c>
      <c r="J140" s="50">
        <f>J141+J143</f>
        <v>0</v>
      </c>
      <c r="K140" s="50">
        <f>K141+K143</f>
        <v>0</v>
      </c>
      <c r="L140" s="52"/>
      <c r="M140" s="19"/>
      <c r="P140" s="91">
        <v>870</v>
      </c>
    </row>
    <row r="141" spans="3:16" ht="12.75" x14ac:dyDescent="0.2">
      <c r="C141" s="2"/>
      <c r="D141" s="47" t="s">
        <v>293</v>
      </c>
      <c r="E141" s="42" t="s">
        <v>270</v>
      </c>
      <c r="F141" s="17" t="s">
        <v>294</v>
      </c>
      <c r="G141" s="18">
        <f t="shared" si="1"/>
        <v>0</v>
      </c>
      <c r="H141" s="48"/>
      <c r="I141" s="48"/>
      <c r="J141" s="48"/>
      <c r="K141" s="48"/>
      <c r="L141" s="52"/>
      <c r="M141" s="19"/>
      <c r="P141" s="91">
        <v>880</v>
      </c>
    </row>
    <row r="142" spans="3:16" ht="12.75" x14ac:dyDescent="0.2">
      <c r="C142" s="2"/>
      <c r="D142" s="47" t="s">
        <v>295</v>
      </c>
      <c r="E142" s="43" t="s">
        <v>273</v>
      </c>
      <c r="F142" s="17" t="s">
        <v>296</v>
      </c>
      <c r="G142" s="18">
        <f t="shared" si="1"/>
        <v>0</v>
      </c>
      <c r="H142" s="48"/>
      <c r="I142" s="48"/>
      <c r="J142" s="48"/>
      <c r="K142" s="48"/>
      <c r="L142" s="52"/>
      <c r="M142" s="19"/>
      <c r="P142" s="91"/>
    </row>
    <row r="143" spans="3:16" ht="12.75" x14ac:dyDescent="0.2">
      <c r="C143" s="2"/>
      <c r="D143" s="47" t="s">
        <v>297</v>
      </c>
      <c r="E143" s="42" t="s">
        <v>276</v>
      </c>
      <c r="F143" s="17" t="s">
        <v>298</v>
      </c>
      <c r="G143" s="18">
        <f t="shared" si="1"/>
        <v>0</v>
      </c>
      <c r="H143" s="54"/>
      <c r="I143" s="54"/>
      <c r="J143" s="54"/>
      <c r="K143" s="54"/>
      <c r="L143" s="52"/>
      <c r="M143" s="19"/>
      <c r="P143" s="91">
        <v>890</v>
      </c>
    </row>
    <row r="144" spans="3:16" ht="22.5" x14ac:dyDescent="0.2">
      <c r="C144" s="2"/>
      <c r="D144" s="47" t="s">
        <v>299</v>
      </c>
      <c r="E144" s="16" t="s">
        <v>300</v>
      </c>
      <c r="F144" s="17" t="s">
        <v>301</v>
      </c>
      <c r="G144" s="18">
        <f t="shared" si="1"/>
        <v>3463.5884166719993</v>
      </c>
      <c r="H144" s="55">
        <f>SUM( H145:H146)</f>
        <v>5.1422960400000006</v>
      </c>
      <c r="I144" s="55">
        <f>SUM( I145:I146)</f>
        <v>3282.9265834319995</v>
      </c>
      <c r="J144" s="55">
        <f>SUM( J145:J146)</f>
        <v>112.28667408</v>
      </c>
      <c r="K144" s="55">
        <f>SUM( K145:K146)</f>
        <v>63.232863120000012</v>
      </c>
      <c r="L144" s="52"/>
      <c r="M144" s="19"/>
      <c r="P144" s="91">
        <v>900</v>
      </c>
    </row>
    <row r="145" spans="3:19" ht="12.75" x14ac:dyDescent="0.2">
      <c r="C145" s="2"/>
      <c r="D145" s="47" t="s">
        <v>302</v>
      </c>
      <c r="E145" s="20" t="s">
        <v>178</v>
      </c>
      <c r="F145" s="17" t="s">
        <v>303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/>
    </row>
    <row r="146" spans="3:19" ht="12.75" x14ac:dyDescent="0.2">
      <c r="C146" s="2"/>
      <c r="D146" s="47" t="s">
        <v>304</v>
      </c>
      <c r="E146" s="20" t="s">
        <v>181</v>
      </c>
      <c r="F146" s="17" t="s">
        <v>305</v>
      </c>
      <c r="G146" s="18">
        <f t="shared" si="1"/>
        <v>3463.5884166719993</v>
      </c>
      <c r="H146" s="55">
        <f>H147+H148</f>
        <v>5.1422960400000006</v>
      </c>
      <c r="I146" s="55">
        <f>I147+I148</f>
        <v>3282.9265834319995</v>
      </c>
      <c r="J146" s="55">
        <f>J147+J148</f>
        <v>112.28667408</v>
      </c>
      <c r="K146" s="55">
        <f>K147+K148</f>
        <v>63.232863120000012</v>
      </c>
      <c r="L146" s="52"/>
      <c r="M146" s="19"/>
      <c r="P146" s="91"/>
    </row>
    <row r="147" spans="3:19" ht="12.75" x14ac:dyDescent="0.2">
      <c r="C147" s="2"/>
      <c r="D147" s="47" t="s">
        <v>306</v>
      </c>
      <c r="E147" s="42" t="s">
        <v>307</v>
      </c>
      <c r="F147" s="17" t="s">
        <v>308</v>
      </c>
      <c r="G147" s="18">
        <f t="shared" si="1"/>
        <v>2990.7339039119997</v>
      </c>
      <c r="H147" s="54"/>
      <c r="I147" s="54">
        <f>I125*99667.21/1000*1.2</f>
        <v>2990.7339039119997</v>
      </c>
      <c r="J147" s="54"/>
      <c r="K147" s="54"/>
      <c r="L147" s="52"/>
      <c r="M147" s="19"/>
      <c r="P147" s="91" t="s">
        <v>338</v>
      </c>
    </row>
    <row r="148" spans="3:19" ht="12.75" x14ac:dyDescent="0.2">
      <c r="C148" s="2"/>
      <c r="D148" s="47" t="s">
        <v>309</v>
      </c>
      <c r="E148" s="42" t="s">
        <v>276</v>
      </c>
      <c r="F148" s="17" t="s">
        <v>310</v>
      </c>
      <c r="G148" s="18">
        <f t="shared" si="1"/>
        <v>472.85451275999998</v>
      </c>
      <c r="H148" s="54">
        <f>H126*88.9/1000*1.2</f>
        <v>5.1422960400000006</v>
      </c>
      <c r="I148" s="54">
        <f>I126*88.9/1000*1.2</f>
        <v>292.19267951999996</v>
      </c>
      <c r="J148" s="54">
        <f>J126*88.9/1000*1.2</f>
        <v>112.28667408</v>
      </c>
      <c r="K148" s="54">
        <f>K126*88.9/1000*1.2</f>
        <v>63.232863120000012</v>
      </c>
      <c r="L148" s="52"/>
      <c r="M148" s="19"/>
      <c r="P148" s="91" t="s">
        <v>339</v>
      </c>
    </row>
    <row r="149" spans="3:19" x14ac:dyDescent="0.25">
      <c r="D149" s="6"/>
      <c r="E149" s="56"/>
      <c r="F149" s="56"/>
      <c r="G149" s="56"/>
      <c r="H149" s="56"/>
      <c r="I149" s="56"/>
      <c r="J149" s="56"/>
      <c r="K149" s="57"/>
      <c r="L149" s="57"/>
      <c r="M149" s="57"/>
      <c r="N149" s="57"/>
      <c r="O149" s="57"/>
      <c r="P149" s="57"/>
      <c r="Q149" s="57"/>
      <c r="R149" s="94"/>
      <c r="S149" s="94"/>
    </row>
    <row r="150" spans="3:19" ht="12.75" x14ac:dyDescent="0.2">
      <c r="E150" s="19" t="s">
        <v>311</v>
      </c>
      <c r="F150" s="103" t="str">
        <f>IF([7]Титульный!G45="","",[7]Титульный!G45)</f>
        <v>экономист</v>
      </c>
      <c r="G150" s="103"/>
      <c r="H150" s="58"/>
      <c r="I150" s="103" t="str">
        <f>IF([7]Титульный!G44="","",[7]Титульный!G44)</f>
        <v>Кривнева Е. В.</v>
      </c>
      <c r="J150" s="103"/>
      <c r="K150" s="103"/>
      <c r="L150" s="58"/>
      <c r="M150" s="59"/>
      <c r="N150" s="59"/>
      <c r="O150" s="61"/>
      <c r="P150" s="57"/>
      <c r="Q150" s="57"/>
      <c r="R150" s="94"/>
      <c r="S150" s="94"/>
    </row>
    <row r="151" spans="3:19" ht="12.75" x14ac:dyDescent="0.2">
      <c r="E151" s="60" t="s">
        <v>312</v>
      </c>
      <c r="F151" s="102" t="s">
        <v>313</v>
      </c>
      <c r="G151" s="102"/>
      <c r="H151" s="61"/>
      <c r="I151" s="102" t="s">
        <v>314</v>
      </c>
      <c r="J151" s="102"/>
      <c r="K151" s="102"/>
      <c r="L151" s="61"/>
      <c r="M151" s="102" t="s">
        <v>315</v>
      </c>
      <c r="N151" s="102"/>
      <c r="O151" s="19"/>
      <c r="P151" s="57"/>
      <c r="Q151" s="57"/>
      <c r="R151" s="94"/>
      <c r="S151" s="94"/>
    </row>
    <row r="152" spans="3:19" ht="12.75" x14ac:dyDescent="0.2">
      <c r="E152" s="60" t="s">
        <v>316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57"/>
      <c r="Q152" s="57"/>
      <c r="R152" s="94"/>
      <c r="S152" s="94"/>
    </row>
    <row r="153" spans="3:19" ht="12.75" x14ac:dyDescent="0.2">
      <c r="E153" s="60" t="s">
        <v>317</v>
      </c>
      <c r="F153" s="103" t="str">
        <f>IF([7]Титульный!G46="","",[7]Титульный!G46)</f>
        <v>(861) 258-50-71</v>
      </c>
      <c r="G153" s="103"/>
      <c r="H153" s="103"/>
      <c r="I153" s="19"/>
      <c r="J153" s="60" t="s">
        <v>318</v>
      </c>
      <c r="K153" s="95"/>
      <c r="L153" s="19"/>
      <c r="M153" s="19"/>
      <c r="N153" s="19"/>
      <c r="O153" s="19"/>
      <c r="P153" s="57"/>
      <c r="Q153" s="57"/>
      <c r="R153" s="94"/>
      <c r="S153" s="94"/>
    </row>
    <row r="154" spans="3:19" ht="12.75" x14ac:dyDescent="0.2">
      <c r="E154" s="19" t="s">
        <v>319</v>
      </c>
      <c r="F154" s="104" t="s">
        <v>320</v>
      </c>
      <c r="G154" s="104"/>
      <c r="H154" s="104"/>
      <c r="I154" s="19"/>
      <c r="J154" s="63" t="s">
        <v>321</v>
      </c>
      <c r="K154" s="63"/>
      <c r="L154" s="19"/>
      <c r="M154" s="19"/>
      <c r="N154" s="19"/>
      <c r="O154" s="19"/>
      <c r="P154" s="57"/>
      <c r="Q154" s="57"/>
      <c r="R154" s="94"/>
      <c r="S154" s="94"/>
    </row>
    <row r="155" spans="3:19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94"/>
      <c r="S155" s="94"/>
    </row>
    <row r="156" spans="3:19" x14ac:dyDescent="0.25"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99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99"/>
      <c r="H160" s="99"/>
      <c r="I160" s="99"/>
      <c r="J160" s="99"/>
      <c r="K160" s="99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5:19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</sheetData>
  <mergeCells count="18">
    <mergeCell ref="F151:G151"/>
    <mergeCell ref="I151:K151"/>
    <mergeCell ref="M151:N151"/>
    <mergeCell ref="F153:H153"/>
    <mergeCell ref="F154:H154"/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65:K79 G15:K18 G81:K89 G95:K126 G61:K63 G43:K51 G27:K41 G128:K148 G58:K59 G20:K21 G53:K5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3"/>
  <sheetViews>
    <sheetView topLeftCell="C118" workbookViewId="0">
      <selection activeCell="H25" sqref="H25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8" t="s">
        <v>7</v>
      </c>
      <c r="I12" s="98" t="s">
        <v>8</v>
      </c>
      <c r="J12" s="98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6036.2860000000001</v>
      </c>
      <c r="H15" s="18">
        <f>H16+H17+H20+H23</f>
        <v>761.15800000000002</v>
      </c>
      <c r="I15" s="18">
        <f>I16+I17+I20+I23</f>
        <v>5045.598</v>
      </c>
      <c r="J15" s="18">
        <f>J16+J17+J20+J23</f>
        <v>229.53</v>
      </c>
      <c r="K15" s="18">
        <f>K16+K17+K20+K23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4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</v>
      </c>
      <c r="H17" s="18">
        <f>SUM(H18:H19)</f>
        <v>0</v>
      </c>
      <c r="I17" s="18">
        <f>SUM(I18:I19)</f>
        <v>0</v>
      </c>
      <c r="J17" s="18">
        <f>SUM(J18:J19)</f>
        <v>0</v>
      </c>
      <c r="K17" s="18">
        <f>SUM(K18:K19)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2.75" x14ac:dyDescent="0.2">
      <c r="C19" s="12"/>
      <c r="D19" s="26"/>
      <c r="E19" s="27" t="s">
        <v>20</v>
      </c>
      <c r="F19" s="28"/>
      <c r="G19" s="28"/>
      <c r="H19" s="28"/>
      <c r="I19" s="28"/>
      <c r="J19" s="28"/>
      <c r="K19" s="29"/>
      <c r="L19" s="13"/>
      <c r="M19" s="19"/>
      <c r="P19" s="92"/>
    </row>
    <row r="20" spans="3:16" s="14" customFormat="1" ht="12.75" x14ac:dyDescent="0.2">
      <c r="C20" s="12"/>
      <c r="D20" s="15" t="s">
        <v>21</v>
      </c>
      <c r="E20" s="20" t="s">
        <v>22</v>
      </c>
      <c r="F20" s="17" t="s">
        <v>23</v>
      </c>
      <c r="G20" s="18">
        <f t="shared" si="0"/>
        <v>0</v>
      </c>
      <c r="H20" s="18">
        <f>SUM(H21:H22)</f>
        <v>0</v>
      </c>
      <c r="I20" s="18">
        <f>SUM(I21:I22)</f>
        <v>0</v>
      </c>
      <c r="J20" s="18">
        <f>SUM(J21:J22)</f>
        <v>0</v>
      </c>
      <c r="K20" s="18">
        <f>SUM(K21:K22)</f>
        <v>0</v>
      </c>
      <c r="L20" s="13"/>
      <c r="M20" s="19"/>
      <c r="P20" s="92"/>
    </row>
    <row r="21" spans="3:16" s="14" customFormat="1" ht="12.75" x14ac:dyDescent="0.2">
      <c r="C21" s="12"/>
      <c r="D21" s="22" t="s">
        <v>24</v>
      </c>
      <c r="E21" s="23"/>
      <c r="F21" s="24" t="s">
        <v>23</v>
      </c>
      <c r="G21" s="25"/>
      <c r="H21" s="25"/>
      <c r="I21" s="25"/>
      <c r="J21" s="25"/>
      <c r="K21" s="25"/>
      <c r="L21" s="13"/>
      <c r="M21" s="19"/>
      <c r="P21" s="91"/>
    </row>
    <row r="22" spans="3:16" s="14" customFormat="1" ht="12.75" x14ac:dyDescent="0.2">
      <c r="C22" s="12"/>
      <c r="D22" s="26"/>
      <c r="E22" s="27" t="s">
        <v>20</v>
      </c>
      <c r="F22" s="28"/>
      <c r="G22" s="28"/>
      <c r="H22" s="28"/>
      <c r="I22" s="28"/>
      <c r="J22" s="28"/>
      <c r="K22" s="29"/>
      <c r="L22" s="13"/>
      <c r="M22" s="19"/>
      <c r="P22" s="92"/>
    </row>
    <row r="23" spans="3:16" s="14" customFormat="1" ht="12.75" x14ac:dyDescent="0.2">
      <c r="C23" s="12"/>
      <c r="D23" s="15" t="s">
        <v>25</v>
      </c>
      <c r="E23" s="20" t="s">
        <v>26</v>
      </c>
      <c r="F23" s="17" t="s">
        <v>27</v>
      </c>
      <c r="G23" s="18">
        <f t="shared" si="0"/>
        <v>6036.2860000000001</v>
      </c>
      <c r="H23" s="18">
        <f>SUM(H24:H26)</f>
        <v>761.15800000000002</v>
      </c>
      <c r="I23" s="18">
        <f>SUM(I24:I26)</f>
        <v>5045.598</v>
      </c>
      <c r="J23" s="18">
        <f>SUM(J24:J26)</f>
        <v>229.53</v>
      </c>
      <c r="K23" s="18">
        <f>SUM(K24:K26)</f>
        <v>0</v>
      </c>
      <c r="L23" s="13"/>
      <c r="M23" s="19"/>
      <c r="P23" s="91">
        <v>40</v>
      </c>
    </row>
    <row r="24" spans="3:16" s="14" customFormat="1" ht="12.75" x14ac:dyDescent="0.2">
      <c r="C24" s="12"/>
      <c r="D24" s="22" t="s">
        <v>28</v>
      </c>
      <c r="E24" s="23"/>
      <c r="F24" s="24" t="s">
        <v>27</v>
      </c>
      <c r="G24" s="25"/>
      <c r="H24" s="25"/>
      <c r="I24" s="25"/>
      <c r="J24" s="25"/>
      <c r="K24" s="25"/>
      <c r="L24" s="13"/>
      <c r="M24" s="19"/>
      <c r="P24" s="91"/>
    </row>
    <row r="25" spans="3:16" s="14" customFormat="1" ht="15" x14ac:dyDescent="0.25">
      <c r="C25" s="30" t="s">
        <v>29</v>
      </c>
      <c r="D25" s="31" t="s">
        <v>30</v>
      </c>
      <c r="E25" s="32" t="s">
        <v>31</v>
      </c>
      <c r="F25" s="33">
        <v>431</v>
      </c>
      <c r="G25" s="34">
        <f>SUM(H25:K25)</f>
        <v>6036.2860000000001</v>
      </c>
      <c r="H25" s="35">
        <v>761.15800000000002</v>
      </c>
      <c r="I25" s="35">
        <v>5045.598</v>
      </c>
      <c r="J25" s="35">
        <v>229.53</v>
      </c>
      <c r="K25" s="36"/>
      <c r="L25" s="13"/>
      <c r="M25" s="37" t="s">
        <v>32</v>
      </c>
      <c r="N25" s="38" t="s">
        <v>33</v>
      </c>
      <c r="O25" s="38" t="s">
        <v>336</v>
      </c>
    </row>
    <row r="26" spans="3:16" s="14" customFormat="1" ht="12.75" x14ac:dyDescent="0.2">
      <c r="C26" s="12"/>
      <c r="D26" s="26"/>
      <c r="E26" s="27" t="s">
        <v>20</v>
      </c>
      <c r="F26" s="28"/>
      <c r="G26" s="28"/>
      <c r="H26" s="28"/>
      <c r="I26" s="28"/>
      <c r="J26" s="28"/>
      <c r="K26" s="29"/>
      <c r="L26" s="13"/>
      <c r="M26" s="19"/>
      <c r="P26" s="91"/>
    </row>
    <row r="27" spans="3:16" s="14" customFormat="1" ht="12.75" x14ac:dyDescent="0.2">
      <c r="C27" s="12"/>
      <c r="D27" s="15" t="s">
        <v>34</v>
      </c>
      <c r="E27" s="16" t="s">
        <v>35</v>
      </c>
      <c r="F27" s="17" t="s">
        <v>36</v>
      </c>
      <c r="G27" s="18">
        <f t="shared" si="0"/>
        <v>2284.3989999999994</v>
      </c>
      <c r="H27" s="18">
        <f>H29+H30+H31</f>
        <v>0</v>
      </c>
      <c r="I27" s="18">
        <f>I28+I30+I31</f>
        <v>0</v>
      </c>
      <c r="J27" s="18">
        <f>J28+J29+J31</f>
        <v>1569.1629999999998</v>
      </c>
      <c r="K27" s="18">
        <f>K28+K29+K30</f>
        <v>715.23599999999988</v>
      </c>
      <c r="L27" s="13"/>
      <c r="M27" s="19"/>
      <c r="P27" s="91">
        <v>50</v>
      </c>
    </row>
    <row r="28" spans="3:16" s="14" customFormat="1" ht="12.75" x14ac:dyDescent="0.2">
      <c r="C28" s="12"/>
      <c r="D28" s="15" t="s">
        <v>37</v>
      </c>
      <c r="E28" s="20" t="s">
        <v>7</v>
      </c>
      <c r="F28" s="17" t="s">
        <v>38</v>
      </c>
      <c r="G28" s="18">
        <f t="shared" si="0"/>
        <v>693.69900000000007</v>
      </c>
      <c r="H28" s="39"/>
      <c r="I28" s="21"/>
      <c r="J28" s="21">
        <f>H44</f>
        <v>693.69900000000007</v>
      </c>
      <c r="K28" s="21"/>
      <c r="L28" s="13"/>
      <c r="M28" s="19"/>
      <c r="P28" s="91">
        <v>60</v>
      </c>
    </row>
    <row r="29" spans="3:16" s="14" customFormat="1" ht="12.75" x14ac:dyDescent="0.2">
      <c r="C29" s="12"/>
      <c r="D29" s="15" t="s">
        <v>39</v>
      </c>
      <c r="E29" s="20" t="s">
        <v>8</v>
      </c>
      <c r="F29" s="17" t="s">
        <v>40</v>
      </c>
      <c r="G29" s="18">
        <f t="shared" si="0"/>
        <v>875.46399999999971</v>
      </c>
      <c r="H29" s="21"/>
      <c r="I29" s="39"/>
      <c r="J29" s="21">
        <f>I25-I33-I47</f>
        <v>875.46399999999971</v>
      </c>
      <c r="K29" s="21"/>
      <c r="L29" s="13"/>
      <c r="M29" s="19"/>
      <c r="P29" s="91">
        <v>70</v>
      </c>
    </row>
    <row r="30" spans="3:16" s="14" customFormat="1" ht="12.75" x14ac:dyDescent="0.2">
      <c r="C30" s="12"/>
      <c r="D30" s="15" t="s">
        <v>41</v>
      </c>
      <c r="E30" s="20" t="s">
        <v>9</v>
      </c>
      <c r="F30" s="17" t="s">
        <v>42</v>
      </c>
      <c r="G30" s="18">
        <f t="shared" si="0"/>
        <v>715.23599999999988</v>
      </c>
      <c r="H30" s="21"/>
      <c r="I30" s="21"/>
      <c r="J30" s="39"/>
      <c r="K30" s="21">
        <f>J23+J27+J17-J47-J33</f>
        <v>715.23599999999988</v>
      </c>
      <c r="L30" s="13"/>
      <c r="M30" s="19"/>
      <c r="P30" s="91">
        <v>80</v>
      </c>
    </row>
    <row r="31" spans="3:16" s="14" customFormat="1" ht="12.75" x14ac:dyDescent="0.2">
      <c r="C31" s="12"/>
      <c r="D31" s="15" t="s">
        <v>43</v>
      </c>
      <c r="E31" s="20" t="s">
        <v>44</v>
      </c>
      <c r="F31" s="17" t="s">
        <v>45</v>
      </c>
      <c r="G31" s="18">
        <f t="shared" si="0"/>
        <v>0</v>
      </c>
      <c r="H31" s="21"/>
      <c r="I31" s="21"/>
      <c r="J31" s="21"/>
      <c r="K31" s="39"/>
      <c r="L31" s="13"/>
      <c r="M31" s="19"/>
      <c r="P31" s="91">
        <v>90</v>
      </c>
    </row>
    <row r="32" spans="3:16" s="14" customFormat="1" ht="12.75" x14ac:dyDescent="0.2">
      <c r="C32" s="12"/>
      <c r="D32" s="15" t="s">
        <v>46</v>
      </c>
      <c r="E32" s="40" t="s">
        <v>47</v>
      </c>
      <c r="F32" s="17" t="s">
        <v>48</v>
      </c>
      <c r="G32" s="18">
        <f t="shared" si="0"/>
        <v>0</v>
      </c>
      <c r="H32" s="21"/>
      <c r="I32" s="21"/>
      <c r="J32" s="21"/>
      <c r="K32" s="21"/>
      <c r="L32" s="13"/>
      <c r="M32" s="19"/>
      <c r="P32" s="91"/>
    </row>
    <row r="33" spans="3:16" s="14" customFormat="1" ht="12.75" x14ac:dyDescent="0.2">
      <c r="C33" s="12"/>
      <c r="D33" s="15" t="s">
        <v>49</v>
      </c>
      <c r="E33" s="16" t="s">
        <v>50</v>
      </c>
      <c r="F33" s="41" t="s">
        <v>51</v>
      </c>
      <c r="G33" s="18">
        <f t="shared" si="0"/>
        <v>5858.9490000000005</v>
      </c>
      <c r="H33" s="18">
        <f>H34+H36+H39+H43</f>
        <v>0</v>
      </c>
      <c r="I33" s="18">
        <f>I34+I36+I39+I43</f>
        <v>4114.0950000000003</v>
      </c>
      <c r="J33" s="18">
        <f>J34+J36+J39+J43</f>
        <v>1058.4349999999999</v>
      </c>
      <c r="K33" s="18">
        <f>K34+K36+K39+K43</f>
        <v>686.41899999999998</v>
      </c>
      <c r="L33" s="13"/>
      <c r="M33" s="19"/>
      <c r="P33" s="91">
        <v>100</v>
      </c>
    </row>
    <row r="34" spans="3:16" s="14" customFormat="1" ht="22.5" x14ac:dyDescent="0.2">
      <c r="C34" s="12"/>
      <c r="D34" s="15" t="s">
        <v>52</v>
      </c>
      <c r="E34" s="20" t="s">
        <v>53</v>
      </c>
      <c r="F34" s="17" t="s">
        <v>54</v>
      </c>
      <c r="G34" s="18">
        <f t="shared" si="0"/>
        <v>0</v>
      </c>
      <c r="H34" s="21"/>
      <c r="I34" s="21"/>
      <c r="J34" s="21"/>
      <c r="K34" s="21"/>
      <c r="L34" s="13"/>
      <c r="M34" s="19"/>
      <c r="P34" s="91"/>
    </row>
    <row r="35" spans="3:16" s="14" customFormat="1" ht="12.75" x14ac:dyDescent="0.2">
      <c r="C35" s="12"/>
      <c r="D35" s="15" t="s">
        <v>55</v>
      </c>
      <c r="E35" s="42" t="s">
        <v>56</v>
      </c>
      <c r="F35" s="17" t="s">
        <v>57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58</v>
      </c>
      <c r="E36" s="20" t="s">
        <v>59</v>
      </c>
      <c r="F36" s="17" t="s">
        <v>60</v>
      </c>
      <c r="G36" s="18">
        <f t="shared" si="0"/>
        <v>2472.9140000000002</v>
      </c>
      <c r="H36" s="21">
        <v>0</v>
      </c>
      <c r="I36" s="21">
        <f>4114.095-I41</f>
        <v>728.0600000000004</v>
      </c>
      <c r="J36" s="21">
        <v>1058.4349999999999</v>
      </c>
      <c r="K36" s="21">
        <v>686.41899999999998</v>
      </c>
      <c r="L36" s="13"/>
      <c r="M36" s="19"/>
      <c r="P36" s="91"/>
    </row>
    <row r="37" spans="3:16" s="14" customFormat="1" ht="12.75" x14ac:dyDescent="0.2">
      <c r="C37" s="12"/>
      <c r="D37" s="15" t="s">
        <v>61</v>
      </c>
      <c r="E37" s="42" t="s">
        <v>62</v>
      </c>
      <c r="F37" s="17" t="s">
        <v>63</v>
      </c>
      <c r="G37" s="18">
        <f t="shared" si="0"/>
        <v>0</v>
      </c>
      <c r="H37" s="21"/>
      <c r="I37" s="21"/>
      <c r="J37" s="21"/>
      <c r="K37" s="21"/>
      <c r="L37" s="13"/>
      <c r="M37" s="19"/>
      <c r="P37" s="91"/>
    </row>
    <row r="38" spans="3:16" s="14" customFormat="1" ht="12.75" x14ac:dyDescent="0.2">
      <c r="C38" s="12"/>
      <c r="D38" s="15" t="s">
        <v>64</v>
      </c>
      <c r="E38" s="43" t="s">
        <v>56</v>
      </c>
      <c r="F38" s="17" t="s">
        <v>65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66</v>
      </c>
      <c r="E39" s="20" t="s">
        <v>67</v>
      </c>
      <c r="F39" s="17" t="s">
        <v>68</v>
      </c>
      <c r="G39" s="18">
        <f t="shared" si="0"/>
        <v>3386.0349999999999</v>
      </c>
      <c r="H39" s="18">
        <f>SUM(H40:H42)</f>
        <v>0</v>
      </c>
      <c r="I39" s="18">
        <f>SUM(I40:I42)</f>
        <v>3386.0349999999999</v>
      </c>
      <c r="J39" s="18">
        <f>SUM(J40:J42)</f>
        <v>0</v>
      </c>
      <c r="K39" s="18">
        <f>SUM(K40:K42)</f>
        <v>0</v>
      </c>
      <c r="L39" s="13"/>
      <c r="M39" s="19"/>
      <c r="P39" s="91"/>
    </row>
    <row r="40" spans="3:16" s="14" customFormat="1" ht="12.75" x14ac:dyDescent="0.2">
      <c r="C40" s="12"/>
      <c r="D40" s="22" t="s">
        <v>69</v>
      </c>
      <c r="E40" s="23"/>
      <c r="F40" s="24" t="s">
        <v>68</v>
      </c>
      <c r="G40" s="25"/>
      <c r="H40" s="25"/>
      <c r="I40" s="25"/>
      <c r="J40" s="25"/>
      <c r="K40" s="25"/>
      <c r="L40" s="13"/>
      <c r="M40" s="19"/>
      <c r="P40" s="91"/>
    </row>
    <row r="41" spans="3:16" s="14" customFormat="1" ht="15" x14ac:dyDescent="0.25">
      <c r="C41" s="30" t="s">
        <v>29</v>
      </c>
      <c r="D41" s="31" t="s">
        <v>70</v>
      </c>
      <c r="E41" s="32" t="s">
        <v>71</v>
      </c>
      <c r="F41" s="33">
        <v>751</v>
      </c>
      <c r="G41" s="34">
        <f>SUM(H41:K41)</f>
        <v>3386.0349999999999</v>
      </c>
      <c r="H41" s="35"/>
      <c r="I41" s="35">
        <v>3386.0349999999999</v>
      </c>
      <c r="J41" s="35"/>
      <c r="K41" s="36"/>
      <c r="L41" s="13"/>
      <c r="M41" s="37" t="s">
        <v>72</v>
      </c>
      <c r="N41" s="38" t="s">
        <v>73</v>
      </c>
      <c r="O41" s="38" t="s">
        <v>337</v>
      </c>
    </row>
    <row r="42" spans="3:16" s="14" customFormat="1" ht="12.75" x14ac:dyDescent="0.2">
      <c r="C42" s="12"/>
      <c r="D42" s="44"/>
      <c r="E42" s="27" t="s">
        <v>20</v>
      </c>
      <c r="F42" s="28"/>
      <c r="G42" s="28"/>
      <c r="H42" s="28"/>
      <c r="I42" s="28"/>
      <c r="J42" s="28"/>
      <c r="K42" s="29"/>
      <c r="L42" s="13"/>
      <c r="M42" s="19"/>
      <c r="P42" s="91"/>
    </row>
    <row r="43" spans="3:16" s="14" customFormat="1" ht="12.75" x14ac:dyDescent="0.2">
      <c r="C43" s="12"/>
      <c r="D43" s="15" t="s">
        <v>74</v>
      </c>
      <c r="E43" s="45" t="s">
        <v>75</v>
      </c>
      <c r="F43" s="17" t="s">
        <v>76</v>
      </c>
      <c r="G43" s="18">
        <f t="shared" si="0"/>
        <v>0</v>
      </c>
      <c r="H43" s="21"/>
      <c r="I43" s="21"/>
      <c r="J43" s="21"/>
      <c r="K43" s="21"/>
      <c r="L43" s="13"/>
      <c r="M43" s="19"/>
      <c r="P43" s="91">
        <v>120</v>
      </c>
    </row>
    <row r="44" spans="3:16" s="14" customFormat="1" ht="12.75" x14ac:dyDescent="0.2">
      <c r="C44" s="12"/>
      <c r="D44" s="15" t="s">
        <v>77</v>
      </c>
      <c r="E44" s="16" t="s">
        <v>78</v>
      </c>
      <c r="F44" s="17" t="s">
        <v>79</v>
      </c>
      <c r="G44" s="18">
        <f t="shared" si="0"/>
        <v>2284.3989999999994</v>
      </c>
      <c r="H44" s="21">
        <f>H25-H47</f>
        <v>693.69900000000007</v>
      </c>
      <c r="I44" s="21">
        <f>I15-I33-I47</f>
        <v>875.46399999999971</v>
      </c>
      <c r="J44" s="21">
        <f>J23+J27+J17-J33-J47</f>
        <v>715.23599999999976</v>
      </c>
      <c r="K44" s="21">
        <f>K30-K33-K47</f>
        <v>-1.0658141036401503E-13</v>
      </c>
      <c r="L44" s="13"/>
      <c r="M44" s="19"/>
      <c r="P44" s="91">
        <v>150</v>
      </c>
    </row>
    <row r="45" spans="3:16" s="14" customFormat="1" ht="12.75" x14ac:dyDescent="0.2">
      <c r="C45" s="12"/>
      <c r="D45" s="15" t="s">
        <v>80</v>
      </c>
      <c r="E45" s="16" t="s">
        <v>81</v>
      </c>
      <c r="F45" s="17" t="s">
        <v>82</v>
      </c>
      <c r="G45" s="18">
        <f t="shared" si="0"/>
        <v>0</v>
      </c>
      <c r="H45" s="21"/>
      <c r="I45" s="21"/>
      <c r="J45" s="21"/>
      <c r="K45" s="21"/>
      <c r="L45" s="13"/>
      <c r="M45" s="19"/>
      <c r="P45" s="91">
        <v>160</v>
      </c>
    </row>
    <row r="46" spans="3:16" s="14" customFormat="1" ht="12.75" x14ac:dyDescent="0.2">
      <c r="C46" s="12"/>
      <c r="D46" s="15" t="s">
        <v>83</v>
      </c>
      <c r="E46" s="16" t="s">
        <v>84</v>
      </c>
      <c r="F46" s="17" t="s">
        <v>85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180</v>
      </c>
    </row>
    <row r="47" spans="3:16" s="14" customFormat="1" ht="12.75" x14ac:dyDescent="0.2">
      <c r="C47" s="12"/>
      <c r="D47" s="15" t="s">
        <v>86</v>
      </c>
      <c r="E47" s="16" t="s">
        <v>87</v>
      </c>
      <c r="F47" s="17" t="s">
        <v>88</v>
      </c>
      <c r="G47" s="18">
        <f t="shared" si="0"/>
        <v>177.33700000000002</v>
      </c>
      <c r="H47" s="21">
        <v>67.459000000000003</v>
      </c>
      <c r="I47" s="21">
        <v>56.039000000000001</v>
      </c>
      <c r="J47" s="21">
        <v>25.021999999999998</v>
      </c>
      <c r="K47" s="21">
        <v>28.817</v>
      </c>
      <c r="L47" s="13"/>
      <c r="M47" s="19"/>
      <c r="P47" s="91">
        <v>190</v>
      </c>
    </row>
    <row r="48" spans="3:16" s="14" customFormat="1" ht="12.75" x14ac:dyDescent="0.2">
      <c r="C48" s="12"/>
      <c r="D48" s="15" t="s">
        <v>89</v>
      </c>
      <c r="E48" s="20" t="s">
        <v>90</v>
      </c>
      <c r="F48" s="17" t="s">
        <v>91</v>
      </c>
      <c r="G48" s="18">
        <f t="shared" si="0"/>
        <v>0</v>
      </c>
      <c r="H48" s="21"/>
      <c r="I48" s="21"/>
      <c r="J48" s="21"/>
      <c r="K48" s="21"/>
      <c r="L48" s="13"/>
      <c r="M48" s="19"/>
      <c r="P48" s="91">
        <v>200</v>
      </c>
    </row>
    <row r="49" spans="3:16" s="14" customFormat="1" ht="22.5" x14ac:dyDescent="0.2">
      <c r="C49" s="12"/>
      <c r="D49" s="15" t="s">
        <v>92</v>
      </c>
      <c r="E49" s="16" t="s">
        <v>93</v>
      </c>
      <c r="F49" s="17" t="s">
        <v>94</v>
      </c>
      <c r="G49" s="18">
        <f t="shared" si="0"/>
        <v>88.4</v>
      </c>
      <c r="H49" s="21"/>
      <c r="I49" s="21">
        <f>88.4*0.2468</f>
        <v>21.817119999999999</v>
      </c>
      <c r="J49" s="21">
        <f>88.4*0.3293</f>
        <v>29.110120000000002</v>
      </c>
      <c r="K49" s="21">
        <f>88.4*0.4239</f>
        <v>37.472760000000001</v>
      </c>
      <c r="L49" s="13"/>
      <c r="M49" s="19"/>
      <c r="P49" s="92"/>
    </row>
    <row r="50" spans="3:16" s="14" customFormat="1" ht="33.75" x14ac:dyDescent="0.2">
      <c r="C50" s="12"/>
      <c r="D50" s="15" t="s">
        <v>95</v>
      </c>
      <c r="E50" s="40" t="s">
        <v>96</v>
      </c>
      <c r="F50" s="17" t="s">
        <v>97</v>
      </c>
      <c r="G50" s="18">
        <f t="shared" si="0"/>
        <v>88.936999999999998</v>
      </c>
      <c r="H50" s="18">
        <f>H47-H49</f>
        <v>67.459000000000003</v>
      </c>
      <c r="I50" s="18">
        <f>I47-I49</f>
        <v>34.221879999999999</v>
      </c>
      <c r="J50" s="18">
        <f>J47-J49</f>
        <v>-4.0881200000000035</v>
      </c>
      <c r="K50" s="18">
        <f>K47-K49</f>
        <v>-8.6557600000000008</v>
      </c>
      <c r="L50" s="13"/>
      <c r="M50" s="19"/>
      <c r="P50" s="92"/>
    </row>
    <row r="51" spans="3:16" s="14" customFormat="1" ht="12.75" x14ac:dyDescent="0.2">
      <c r="C51" s="12"/>
      <c r="D51" s="15" t="s">
        <v>98</v>
      </c>
      <c r="E51" s="16" t="s">
        <v>99</v>
      </c>
      <c r="F51" s="17" t="s">
        <v>100</v>
      </c>
      <c r="G51" s="18">
        <f t="shared" si="0"/>
        <v>0</v>
      </c>
      <c r="H51" s="18">
        <f>(H15+H27+H32)-(H33+H44+H45+H46+H47)</f>
        <v>0</v>
      </c>
      <c r="I51" s="18">
        <f>(I15+I27+I32)-(I33+I44+I45+I46+I47)</f>
        <v>0</v>
      </c>
      <c r="J51" s="18">
        <f>(J15+J27+J32)-(J33+J44+J45+J46+J47)</f>
        <v>0</v>
      </c>
      <c r="K51" s="18">
        <f>(K15+K27+K32)-(K33+K44+K45+K46+K47)</f>
        <v>0</v>
      </c>
      <c r="L51" s="13"/>
      <c r="M51" s="19"/>
      <c r="P51" s="91">
        <v>210</v>
      </c>
    </row>
    <row r="52" spans="3:16" s="14" customFormat="1" ht="12.75" x14ac:dyDescent="0.2">
      <c r="C52" s="12"/>
      <c r="D52" s="111" t="s">
        <v>101</v>
      </c>
      <c r="E52" s="112"/>
      <c r="F52" s="112"/>
      <c r="G52" s="112"/>
      <c r="H52" s="112"/>
      <c r="I52" s="112"/>
      <c r="J52" s="112"/>
      <c r="K52" s="113"/>
      <c r="L52" s="13"/>
      <c r="M52" s="19"/>
      <c r="P52" s="92"/>
    </row>
    <row r="53" spans="3:16" s="14" customFormat="1" ht="12.75" x14ac:dyDescent="0.2">
      <c r="C53" s="12"/>
      <c r="D53" s="15" t="s">
        <v>102</v>
      </c>
      <c r="E53" s="16" t="s">
        <v>13</v>
      </c>
      <c r="F53" s="17" t="s">
        <v>103</v>
      </c>
      <c r="G53" s="18">
        <f t="shared" si="0"/>
        <v>8.3837305555555552</v>
      </c>
      <c r="H53" s="18">
        <f>H54+H55+H58+H61</f>
        <v>1.057163888888889</v>
      </c>
      <c r="I53" s="18">
        <f>I54+I55+I58+I61</f>
        <v>7.0077749999999996</v>
      </c>
      <c r="J53" s="18">
        <f>J54+J55+J58+J61</f>
        <v>0.3187916666666667</v>
      </c>
      <c r="K53" s="18">
        <f>K54+K55+K58+K61</f>
        <v>0</v>
      </c>
      <c r="L53" s="13"/>
      <c r="M53" s="19"/>
      <c r="P53" s="91">
        <v>300</v>
      </c>
    </row>
    <row r="54" spans="3:16" s="14" customFormat="1" ht="12.75" x14ac:dyDescent="0.2">
      <c r="C54" s="12"/>
      <c r="D54" s="15" t="s">
        <v>104</v>
      </c>
      <c r="E54" s="20" t="s">
        <v>15</v>
      </c>
      <c r="F54" s="17" t="s">
        <v>105</v>
      </c>
      <c r="G54" s="18">
        <f t="shared" si="0"/>
        <v>0</v>
      </c>
      <c r="H54" s="21"/>
      <c r="I54" s="21"/>
      <c r="J54" s="21"/>
      <c r="K54" s="21"/>
      <c r="L54" s="13"/>
      <c r="M54" s="19"/>
      <c r="P54" s="91">
        <v>310</v>
      </c>
    </row>
    <row r="55" spans="3:16" s="14" customFormat="1" ht="12.75" x14ac:dyDescent="0.2">
      <c r="C55" s="12"/>
      <c r="D55" s="15" t="s">
        <v>106</v>
      </c>
      <c r="E55" s="20" t="s">
        <v>17</v>
      </c>
      <c r="F55" s="17" t="s">
        <v>107</v>
      </c>
      <c r="G55" s="18">
        <f t="shared" si="0"/>
        <v>0</v>
      </c>
      <c r="H55" s="18">
        <f>SUM(H56:H57)</f>
        <v>0</v>
      </c>
      <c r="I55" s="18">
        <f>SUM(I56:I57)</f>
        <v>0</v>
      </c>
      <c r="J55" s="18">
        <f>SUM(J56:J57)</f>
        <v>0</v>
      </c>
      <c r="K55" s="18">
        <f>SUM(K56:K57)</f>
        <v>0</v>
      </c>
      <c r="L55" s="13"/>
      <c r="M55" s="19"/>
      <c r="P55" s="91">
        <v>320</v>
      </c>
    </row>
    <row r="56" spans="3:16" s="14" customFormat="1" ht="12.75" x14ac:dyDescent="0.2">
      <c r="C56" s="12"/>
      <c r="D56" s="22" t="s">
        <v>108</v>
      </c>
      <c r="E56" s="23"/>
      <c r="F56" s="24" t="s">
        <v>107</v>
      </c>
      <c r="G56" s="25"/>
      <c r="H56" s="25"/>
      <c r="I56" s="25"/>
      <c r="J56" s="25"/>
      <c r="K56" s="25"/>
      <c r="L56" s="13"/>
      <c r="M56" s="19"/>
      <c r="P56" s="91"/>
    </row>
    <row r="57" spans="3:16" s="14" customFormat="1" ht="12.75" x14ac:dyDescent="0.2">
      <c r="C57" s="12"/>
      <c r="D57" s="26"/>
      <c r="E57" s="27" t="s">
        <v>20</v>
      </c>
      <c r="F57" s="28"/>
      <c r="G57" s="28"/>
      <c r="H57" s="28"/>
      <c r="I57" s="28"/>
      <c r="J57" s="28"/>
      <c r="K57" s="29"/>
      <c r="L57" s="13"/>
      <c r="M57" s="19"/>
      <c r="P57" s="91"/>
    </row>
    <row r="58" spans="3:16" s="14" customFormat="1" ht="12.75" x14ac:dyDescent="0.2">
      <c r="C58" s="12"/>
      <c r="D58" s="15" t="s">
        <v>109</v>
      </c>
      <c r="E58" s="20" t="s">
        <v>22</v>
      </c>
      <c r="F58" s="17" t="s">
        <v>110</v>
      </c>
      <c r="G58" s="18">
        <f t="shared" si="0"/>
        <v>0</v>
      </c>
      <c r="H58" s="18">
        <f>SUM(H59:H60)</f>
        <v>0</v>
      </c>
      <c r="I58" s="18">
        <f>SUM(I59:I60)</f>
        <v>0</v>
      </c>
      <c r="J58" s="18">
        <f>SUM(J59:J60)</f>
        <v>0</v>
      </c>
      <c r="K58" s="18">
        <f>SUM(K59:K60)</f>
        <v>0</v>
      </c>
      <c r="L58" s="13"/>
      <c r="M58" s="19"/>
      <c r="P58" s="91"/>
    </row>
    <row r="59" spans="3:16" s="14" customFormat="1" ht="12.75" x14ac:dyDescent="0.2">
      <c r="C59" s="12"/>
      <c r="D59" s="22" t="s">
        <v>111</v>
      </c>
      <c r="E59" s="23"/>
      <c r="F59" s="24" t="s">
        <v>110</v>
      </c>
      <c r="G59" s="25"/>
      <c r="H59" s="25"/>
      <c r="I59" s="25"/>
      <c r="J59" s="25"/>
      <c r="K59" s="25"/>
      <c r="L59" s="13"/>
      <c r="M59" s="19"/>
      <c r="P59" s="91"/>
    </row>
    <row r="60" spans="3:16" s="14" customFormat="1" ht="12.75" x14ac:dyDescent="0.2">
      <c r="C60" s="12"/>
      <c r="D60" s="26"/>
      <c r="E60" s="27" t="s">
        <v>20</v>
      </c>
      <c r="F60" s="28"/>
      <c r="G60" s="28"/>
      <c r="H60" s="28"/>
      <c r="I60" s="28"/>
      <c r="J60" s="28"/>
      <c r="K60" s="29"/>
      <c r="L60" s="13"/>
      <c r="M60" s="19"/>
      <c r="P60" s="91"/>
    </row>
    <row r="61" spans="3:16" s="14" customFormat="1" ht="12.75" x14ac:dyDescent="0.2">
      <c r="C61" s="12"/>
      <c r="D61" s="15" t="s">
        <v>112</v>
      </c>
      <c r="E61" s="20" t="s">
        <v>26</v>
      </c>
      <c r="F61" s="17" t="s">
        <v>113</v>
      </c>
      <c r="G61" s="18">
        <f t="shared" si="0"/>
        <v>8.3837305555555552</v>
      </c>
      <c r="H61" s="18">
        <f>SUM(H62:H64)</f>
        <v>1.057163888888889</v>
      </c>
      <c r="I61" s="18">
        <f>SUM(I62:I64)</f>
        <v>7.0077749999999996</v>
      </c>
      <c r="J61" s="18">
        <f>SUM(J62:J64)</f>
        <v>0.3187916666666667</v>
      </c>
      <c r="K61" s="18">
        <f>SUM(K62:K64)</f>
        <v>0</v>
      </c>
      <c r="L61" s="13"/>
      <c r="M61" s="19"/>
      <c r="P61" s="91">
        <v>330</v>
      </c>
    </row>
    <row r="62" spans="3:16" s="14" customFormat="1" ht="12.75" x14ac:dyDescent="0.2">
      <c r="C62" s="12"/>
      <c r="D62" s="22" t="s">
        <v>114</v>
      </c>
      <c r="E62" s="23"/>
      <c r="F62" s="24" t="s">
        <v>113</v>
      </c>
      <c r="G62" s="25"/>
      <c r="H62" s="25"/>
      <c r="I62" s="25"/>
      <c r="J62" s="25"/>
      <c r="K62" s="25"/>
      <c r="L62" s="13"/>
      <c r="M62" s="19"/>
      <c r="P62" s="91"/>
    </row>
    <row r="63" spans="3:16" s="14" customFormat="1" ht="15" x14ac:dyDescent="0.25">
      <c r="C63" s="30" t="s">
        <v>29</v>
      </c>
      <c r="D63" s="31" t="s">
        <v>115</v>
      </c>
      <c r="E63" s="32" t="s">
        <v>31</v>
      </c>
      <c r="F63" s="33">
        <v>1461</v>
      </c>
      <c r="G63" s="34">
        <f>SUM(H63:K63)</f>
        <v>8.3837305555555552</v>
      </c>
      <c r="H63" s="35">
        <f>H25/720</f>
        <v>1.057163888888889</v>
      </c>
      <c r="I63" s="35">
        <f>I25/720</f>
        <v>7.0077749999999996</v>
      </c>
      <c r="J63" s="35">
        <f>J25/720</f>
        <v>0.3187916666666667</v>
      </c>
      <c r="K63" s="35"/>
      <c r="L63" s="13"/>
      <c r="M63" s="37" t="s">
        <v>32</v>
      </c>
      <c r="N63" s="38" t="s">
        <v>33</v>
      </c>
      <c r="O63" s="38" t="s">
        <v>336</v>
      </c>
    </row>
    <row r="64" spans="3:16" s="14" customFormat="1" ht="12.75" x14ac:dyDescent="0.2">
      <c r="C64" s="12"/>
      <c r="D64" s="26"/>
      <c r="E64" s="27" t="s">
        <v>20</v>
      </c>
      <c r="F64" s="28"/>
      <c r="G64" s="28"/>
      <c r="H64" s="28"/>
      <c r="I64" s="28"/>
      <c r="J64" s="28"/>
      <c r="K64" s="29"/>
      <c r="L64" s="13"/>
      <c r="M64" s="19"/>
      <c r="P64" s="91"/>
    </row>
    <row r="65" spans="3:16" s="14" customFormat="1" ht="12.75" x14ac:dyDescent="0.2">
      <c r="C65" s="12"/>
      <c r="D65" s="15" t="s">
        <v>116</v>
      </c>
      <c r="E65" s="16" t="s">
        <v>35</v>
      </c>
      <c r="F65" s="17" t="s">
        <v>117</v>
      </c>
      <c r="G65" s="18">
        <f t="shared" si="0"/>
        <v>3.1727763888888885</v>
      </c>
      <c r="H65" s="18">
        <f>H67+H68+H69</f>
        <v>0</v>
      </c>
      <c r="I65" s="18">
        <f>I66+I68+I69</f>
        <v>0</v>
      </c>
      <c r="J65" s="18">
        <f>J66+J67+J69</f>
        <v>2.1793930555555554</v>
      </c>
      <c r="K65" s="18">
        <f>K66+K67+K68</f>
        <v>0.99338333333333317</v>
      </c>
      <c r="L65" s="13"/>
      <c r="M65" s="19"/>
      <c r="P65" s="91">
        <v>340</v>
      </c>
    </row>
    <row r="66" spans="3:16" s="14" customFormat="1" ht="12.75" x14ac:dyDescent="0.2">
      <c r="C66" s="12"/>
      <c r="D66" s="15" t="s">
        <v>118</v>
      </c>
      <c r="E66" s="20" t="s">
        <v>7</v>
      </c>
      <c r="F66" s="17" t="s">
        <v>119</v>
      </c>
      <c r="G66" s="18">
        <f t="shared" si="0"/>
        <v>0.96347083333333339</v>
      </c>
      <c r="H66" s="39"/>
      <c r="I66" s="21"/>
      <c r="J66" s="21">
        <f>J28/720</f>
        <v>0.96347083333333339</v>
      </c>
      <c r="K66" s="21"/>
      <c r="L66" s="13"/>
      <c r="M66" s="19"/>
      <c r="P66" s="91">
        <v>350</v>
      </c>
    </row>
    <row r="67" spans="3:16" s="14" customFormat="1" ht="12.75" x14ac:dyDescent="0.2">
      <c r="C67" s="12"/>
      <c r="D67" s="15" t="s">
        <v>120</v>
      </c>
      <c r="E67" s="20" t="s">
        <v>8</v>
      </c>
      <c r="F67" s="17" t="s">
        <v>121</v>
      </c>
      <c r="G67" s="18">
        <f t="shared" si="0"/>
        <v>1.2159222222222219</v>
      </c>
      <c r="H67" s="21"/>
      <c r="I67" s="46"/>
      <c r="J67" s="21">
        <f>J29/720</f>
        <v>1.2159222222222219</v>
      </c>
      <c r="K67" s="21"/>
      <c r="L67" s="13"/>
      <c r="M67" s="19"/>
      <c r="P67" s="91">
        <v>360</v>
      </c>
    </row>
    <row r="68" spans="3:16" s="14" customFormat="1" ht="12.75" x14ac:dyDescent="0.2">
      <c r="C68" s="12"/>
      <c r="D68" s="15" t="s">
        <v>122</v>
      </c>
      <c r="E68" s="20" t="s">
        <v>9</v>
      </c>
      <c r="F68" s="17" t="s">
        <v>123</v>
      </c>
      <c r="G68" s="18">
        <f t="shared" si="0"/>
        <v>0.99338333333333317</v>
      </c>
      <c r="H68" s="21"/>
      <c r="I68" s="21"/>
      <c r="J68" s="39"/>
      <c r="K68" s="21">
        <f>K30/720</f>
        <v>0.99338333333333317</v>
      </c>
      <c r="L68" s="13"/>
      <c r="M68" s="19"/>
      <c r="P68" s="91">
        <v>370</v>
      </c>
    </row>
    <row r="69" spans="3:16" s="14" customFormat="1" ht="12.75" x14ac:dyDescent="0.2">
      <c r="C69" s="12"/>
      <c r="D69" s="15" t="s">
        <v>124</v>
      </c>
      <c r="E69" s="20" t="s">
        <v>44</v>
      </c>
      <c r="F69" s="17" t="s">
        <v>125</v>
      </c>
      <c r="G69" s="18">
        <f t="shared" si="0"/>
        <v>0</v>
      </c>
      <c r="H69" s="21"/>
      <c r="I69" s="21"/>
      <c r="J69" s="21"/>
      <c r="K69" s="39"/>
      <c r="L69" s="13"/>
      <c r="M69" s="19"/>
      <c r="P69" s="91">
        <v>380</v>
      </c>
    </row>
    <row r="70" spans="3:16" s="14" customFormat="1" ht="12.75" x14ac:dyDescent="0.2">
      <c r="C70" s="12"/>
      <c r="D70" s="15" t="s">
        <v>126</v>
      </c>
      <c r="E70" s="40" t="s">
        <v>47</v>
      </c>
      <c r="F70" s="17" t="s">
        <v>127</v>
      </c>
      <c r="G70" s="18">
        <f t="shared" si="0"/>
        <v>0</v>
      </c>
      <c r="H70" s="21"/>
      <c r="I70" s="21"/>
      <c r="J70" s="21"/>
      <c r="K70" s="21"/>
      <c r="L70" s="13"/>
      <c r="M70" s="19"/>
      <c r="P70" s="91"/>
    </row>
    <row r="71" spans="3:16" s="14" customFormat="1" ht="12.75" x14ac:dyDescent="0.2">
      <c r="C71" s="12"/>
      <c r="D71" s="15" t="s">
        <v>128</v>
      </c>
      <c r="E71" s="16" t="s">
        <v>50</v>
      </c>
      <c r="F71" s="41" t="s">
        <v>129</v>
      </c>
      <c r="G71" s="18">
        <f t="shared" si="0"/>
        <v>8.1374291666666672</v>
      </c>
      <c r="H71" s="18">
        <f>H72+H74+H77+H81</f>
        <v>0</v>
      </c>
      <c r="I71" s="18">
        <f>I72+I74+I77+I81</f>
        <v>5.7140208333333344</v>
      </c>
      <c r="J71" s="18">
        <f>J72+J74+J77+J81</f>
        <v>1.4700486111111111</v>
      </c>
      <c r="K71" s="18">
        <f>K72+K74+K77+K81</f>
        <v>0.95335972222222221</v>
      </c>
      <c r="L71" s="13"/>
      <c r="M71" s="19"/>
      <c r="P71" s="91">
        <v>390</v>
      </c>
    </row>
    <row r="72" spans="3:16" s="14" customFormat="1" ht="22.5" x14ac:dyDescent="0.2">
      <c r="C72" s="12"/>
      <c r="D72" s="15" t="s">
        <v>130</v>
      </c>
      <c r="E72" s="20" t="s">
        <v>53</v>
      </c>
      <c r="F72" s="17" t="s">
        <v>131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132</v>
      </c>
      <c r="E73" s="42" t="s">
        <v>56</v>
      </c>
      <c r="F73" s="17" t="s">
        <v>133</v>
      </c>
      <c r="G73" s="18">
        <f t="shared" si="0"/>
        <v>0</v>
      </c>
      <c r="H73" s="21"/>
      <c r="I73" s="21"/>
      <c r="J73" s="21"/>
      <c r="K73" s="21"/>
      <c r="L73" s="13"/>
      <c r="M73" s="19"/>
      <c r="P73" s="91"/>
    </row>
    <row r="74" spans="3:16" s="14" customFormat="1" ht="12.75" x14ac:dyDescent="0.2">
      <c r="C74" s="12"/>
      <c r="D74" s="15" t="s">
        <v>134</v>
      </c>
      <c r="E74" s="20" t="s">
        <v>59</v>
      </c>
      <c r="F74" s="17" t="s">
        <v>135</v>
      </c>
      <c r="G74" s="18">
        <f t="shared" si="0"/>
        <v>3.4346027777777781</v>
      </c>
      <c r="H74" s="21"/>
      <c r="I74" s="21">
        <f>I36/720</f>
        <v>1.011194444444445</v>
      </c>
      <c r="J74" s="21">
        <f>J36/720</f>
        <v>1.4700486111111111</v>
      </c>
      <c r="K74" s="21">
        <f>K36/720</f>
        <v>0.95335972222222221</v>
      </c>
      <c r="L74" s="13"/>
      <c r="M74" s="19"/>
      <c r="P74" s="91"/>
    </row>
    <row r="75" spans="3:16" s="14" customFormat="1" ht="12.75" x14ac:dyDescent="0.2">
      <c r="C75" s="12"/>
      <c r="D75" s="15" t="s">
        <v>136</v>
      </c>
      <c r="E75" s="42" t="s">
        <v>62</v>
      </c>
      <c r="F75" s="17" t="s">
        <v>137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138</v>
      </c>
      <c r="E76" s="43" t="s">
        <v>56</v>
      </c>
      <c r="F76" s="17" t="s">
        <v>139</v>
      </c>
      <c r="G76" s="18">
        <f t="shared" si="0"/>
        <v>0</v>
      </c>
      <c r="H76" s="21"/>
      <c r="I76" s="21"/>
      <c r="J76" s="21"/>
      <c r="K76" s="21"/>
      <c r="L76" s="13"/>
      <c r="M76" s="19"/>
      <c r="P76" s="91"/>
    </row>
    <row r="77" spans="3:16" s="14" customFormat="1" ht="12.75" x14ac:dyDescent="0.2">
      <c r="C77" s="12"/>
      <c r="D77" s="15" t="s">
        <v>140</v>
      </c>
      <c r="E77" s="20" t="s">
        <v>67</v>
      </c>
      <c r="F77" s="17" t="s">
        <v>141</v>
      </c>
      <c r="G77" s="18">
        <f t="shared" si="0"/>
        <v>4.702826388888889</v>
      </c>
      <c r="H77" s="18">
        <f>SUM(H78:H80)</f>
        <v>0</v>
      </c>
      <c r="I77" s="18">
        <f>SUM(I78:I80)</f>
        <v>4.702826388888889</v>
      </c>
      <c r="J77" s="18">
        <f>SUM(J78:J80)</f>
        <v>0</v>
      </c>
      <c r="K77" s="18">
        <f>SUM(K78:K80)</f>
        <v>0</v>
      </c>
      <c r="L77" s="13"/>
      <c r="M77" s="19"/>
      <c r="P77" s="91"/>
    </row>
    <row r="78" spans="3:16" s="14" customFormat="1" ht="12.75" x14ac:dyDescent="0.2">
      <c r="C78" s="12"/>
      <c r="D78" s="22" t="s">
        <v>142</v>
      </c>
      <c r="E78" s="23"/>
      <c r="F78" s="24" t="s">
        <v>141</v>
      </c>
      <c r="G78" s="25"/>
      <c r="H78" s="25"/>
      <c r="I78" s="25"/>
      <c r="J78" s="25"/>
      <c r="K78" s="25"/>
      <c r="L78" s="13"/>
      <c r="M78" s="19"/>
      <c r="P78" s="91"/>
    </row>
    <row r="79" spans="3:16" s="14" customFormat="1" ht="15" x14ac:dyDescent="0.25">
      <c r="C79" s="30" t="s">
        <v>29</v>
      </c>
      <c r="D79" s="31" t="s">
        <v>143</v>
      </c>
      <c r="E79" s="32" t="s">
        <v>71</v>
      </c>
      <c r="F79" s="33">
        <v>1781</v>
      </c>
      <c r="G79" s="34">
        <f>SUM(H79:K79)</f>
        <v>4.702826388888889</v>
      </c>
      <c r="H79" s="35"/>
      <c r="I79" s="35">
        <f>I41/720</f>
        <v>4.702826388888889</v>
      </c>
      <c r="J79" s="35"/>
      <c r="K79" s="36"/>
      <c r="L79" s="13"/>
      <c r="M79" s="37" t="s">
        <v>72</v>
      </c>
      <c r="N79" s="38" t="s">
        <v>73</v>
      </c>
      <c r="O79" s="38" t="s">
        <v>337</v>
      </c>
    </row>
    <row r="80" spans="3:16" s="14" customFormat="1" ht="12.75" x14ac:dyDescent="0.2">
      <c r="C80" s="12"/>
      <c r="D80" s="26"/>
      <c r="E80" s="27" t="s">
        <v>20</v>
      </c>
      <c r="F80" s="28"/>
      <c r="G80" s="28"/>
      <c r="H80" s="28"/>
      <c r="I80" s="28"/>
      <c r="J80" s="28"/>
      <c r="K80" s="29"/>
      <c r="L80" s="13"/>
      <c r="M80" s="19"/>
      <c r="P80" s="91"/>
    </row>
    <row r="81" spans="3:16" s="14" customFormat="1" ht="12.75" x14ac:dyDescent="0.2">
      <c r="C81" s="12"/>
      <c r="D81" s="15" t="s">
        <v>144</v>
      </c>
      <c r="E81" s="45" t="s">
        <v>75</v>
      </c>
      <c r="F81" s="17" t="s">
        <v>145</v>
      </c>
      <c r="G81" s="18">
        <f t="shared" si="0"/>
        <v>0</v>
      </c>
      <c r="H81" s="21"/>
      <c r="I81" s="21"/>
      <c r="J81" s="21"/>
      <c r="K81" s="21"/>
      <c r="L81" s="13"/>
      <c r="M81" s="19"/>
      <c r="P81" s="91">
        <v>410</v>
      </c>
    </row>
    <row r="82" spans="3:16" s="14" customFormat="1" ht="12.75" x14ac:dyDescent="0.2">
      <c r="C82" s="12"/>
      <c r="D82" s="15" t="s">
        <v>146</v>
      </c>
      <c r="E82" s="16" t="s">
        <v>78</v>
      </c>
      <c r="F82" s="17" t="s">
        <v>147</v>
      </c>
      <c r="G82" s="18">
        <f t="shared" si="0"/>
        <v>3.1727763888888885</v>
      </c>
      <c r="H82" s="21">
        <f>H44/720</f>
        <v>0.96347083333333339</v>
      </c>
      <c r="I82" s="21">
        <f>I44/720</f>
        <v>1.2159222222222219</v>
      </c>
      <c r="J82" s="21">
        <f>J44/720</f>
        <v>0.99338333333333295</v>
      </c>
      <c r="K82" s="21">
        <f>K44/720</f>
        <v>-1.4802973661668753E-16</v>
      </c>
      <c r="L82" s="13"/>
      <c r="M82" s="19"/>
      <c r="P82" s="91">
        <v>440</v>
      </c>
    </row>
    <row r="83" spans="3:16" s="14" customFormat="1" ht="12.75" x14ac:dyDescent="0.2">
      <c r="C83" s="12"/>
      <c r="D83" s="15" t="s">
        <v>148</v>
      </c>
      <c r="E83" s="16" t="s">
        <v>81</v>
      </c>
      <c r="F83" s="17" t="s">
        <v>149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450</v>
      </c>
    </row>
    <row r="84" spans="3:16" s="14" customFormat="1" ht="12.75" x14ac:dyDescent="0.2">
      <c r="C84" s="12"/>
      <c r="D84" s="15" t="s">
        <v>150</v>
      </c>
      <c r="E84" s="16" t="s">
        <v>84</v>
      </c>
      <c r="F84" s="17" t="s">
        <v>151</v>
      </c>
      <c r="G84" s="18">
        <f t="shared" si="0"/>
        <v>0</v>
      </c>
      <c r="H84" s="21"/>
      <c r="I84" s="21"/>
      <c r="J84" s="21"/>
      <c r="K84" s="21"/>
      <c r="L84" s="13"/>
      <c r="M84" s="19"/>
      <c r="P84" s="91">
        <v>470</v>
      </c>
    </row>
    <row r="85" spans="3:16" s="14" customFormat="1" ht="12.75" x14ac:dyDescent="0.2">
      <c r="C85" s="12"/>
      <c r="D85" s="15" t="s">
        <v>152</v>
      </c>
      <c r="E85" s="16" t="s">
        <v>87</v>
      </c>
      <c r="F85" s="17" t="s">
        <v>153</v>
      </c>
      <c r="G85" s="18">
        <f t="shared" si="0"/>
        <v>0.24630138888888886</v>
      </c>
      <c r="H85" s="21">
        <f>H47/720</f>
        <v>9.3693055555555557E-2</v>
      </c>
      <c r="I85" s="21">
        <f>I47/720</f>
        <v>7.783194444444444E-2</v>
      </c>
      <c r="J85" s="21">
        <f>J47/720</f>
        <v>3.4752777777777778E-2</v>
      </c>
      <c r="K85" s="21">
        <f>K47/720</f>
        <v>4.0023611111111114E-2</v>
      </c>
      <c r="L85" s="13"/>
      <c r="M85" s="19"/>
      <c r="P85" s="91">
        <v>480</v>
      </c>
    </row>
    <row r="86" spans="3:16" s="14" customFormat="1" ht="12.75" x14ac:dyDescent="0.2">
      <c r="C86" s="12"/>
      <c r="D86" s="15" t="s">
        <v>154</v>
      </c>
      <c r="E86" s="20" t="s">
        <v>155</v>
      </c>
      <c r="F86" s="17" t="s">
        <v>156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490</v>
      </c>
    </row>
    <row r="87" spans="3:16" s="14" customFormat="1" ht="22.5" x14ac:dyDescent="0.2">
      <c r="C87" s="12"/>
      <c r="D87" s="15" t="s">
        <v>157</v>
      </c>
      <c r="E87" s="16" t="s">
        <v>93</v>
      </c>
      <c r="F87" s="17" t="s">
        <v>158</v>
      </c>
      <c r="G87" s="18">
        <f t="shared" si="0"/>
        <v>0.12277777777777776</v>
      </c>
      <c r="H87" s="21"/>
      <c r="I87" s="21">
        <f>I49/720</f>
        <v>3.0301555555555554E-2</v>
      </c>
      <c r="J87" s="21">
        <f>J49/720</f>
        <v>4.0430722222222222E-2</v>
      </c>
      <c r="K87" s="21">
        <f>K49/720</f>
        <v>5.2045500000000001E-2</v>
      </c>
      <c r="L87" s="13"/>
      <c r="M87" s="19"/>
      <c r="P87" s="91"/>
    </row>
    <row r="88" spans="3:16" s="14" customFormat="1" ht="33.75" x14ac:dyDescent="0.2">
      <c r="C88" s="12"/>
      <c r="D88" s="15" t="s">
        <v>159</v>
      </c>
      <c r="E88" s="40" t="s">
        <v>96</v>
      </c>
      <c r="F88" s="17" t="s">
        <v>160</v>
      </c>
      <c r="G88" s="18">
        <f t="shared" si="0"/>
        <v>0.12352361111111113</v>
      </c>
      <c r="H88" s="18">
        <f>H85-H87</f>
        <v>9.3693055555555557E-2</v>
      </c>
      <c r="I88" s="18">
        <f>I85-I87</f>
        <v>4.7530388888888886E-2</v>
      </c>
      <c r="J88" s="18">
        <f>J85-J87</f>
        <v>-5.6779444444444438E-3</v>
      </c>
      <c r="K88" s="18">
        <f>K85-K87</f>
        <v>-1.2021888888888888E-2</v>
      </c>
      <c r="L88" s="13"/>
      <c r="M88" s="19"/>
      <c r="P88" s="91"/>
    </row>
    <row r="89" spans="3:16" s="14" customFormat="1" ht="12.75" x14ac:dyDescent="0.2">
      <c r="C89" s="12"/>
      <c r="D89" s="15" t="s">
        <v>161</v>
      </c>
      <c r="E89" s="16" t="s">
        <v>99</v>
      </c>
      <c r="F89" s="17" t="s">
        <v>162</v>
      </c>
      <c r="G89" s="18">
        <f t="shared" si="0"/>
        <v>0</v>
      </c>
      <c r="H89" s="18">
        <f>(H53+H65+H70)-(H71+H82+H83+H84+H85)</f>
        <v>0</v>
      </c>
      <c r="I89" s="18">
        <f>(I53+I65+I70)-(I71+I82+I83+I84+I85)</f>
        <v>0</v>
      </c>
      <c r="J89" s="18">
        <f>(J53+J65+J70)-(J71+J82+J83+J84+J85)</f>
        <v>0</v>
      </c>
      <c r="K89" s="18">
        <f>(K53+K65+K70)-(K71+K82+K83+K84+K85)</f>
        <v>0</v>
      </c>
      <c r="L89" s="13"/>
      <c r="M89" s="19"/>
      <c r="P89" s="91">
        <v>500</v>
      </c>
    </row>
    <row r="90" spans="3:16" s="14" customFormat="1" ht="12.75" x14ac:dyDescent="0.2">
      <c r="C90" s="12"/>
      <c r="D90" s="111" t="s">
        <v>163</v>
      </c>
      <c r="E90" s="112"/>
      <c r="F90" s="112"/>
      <c r="G90" s="112"/>
      <c r="H90" s="112"/>
      <c r="I90" s="112"/>
      <c r="J90" s="112"/>
      <c r="K90" s="113"/>
      <c r="L90" s="13"/>
      <c r="M90" s="19"/>
      <c r="P90" s="92"/>
    </row>
    <row r="91" spans="3:16" s="14" customFormat="1" ht="12.75" x14ac:dyDescent="0.2">
      <c r="C91" s="12"/>
      <c r="D91" s="15" t="s">
        <v>164</v>
      </c>
      <c r="E91" s="16" t="s">
        <v>165</v>
      </c>
      <c r="F91" s="17" t="s">
        <v>166</v>
      </c>
      <c r="G91" s="18">
        <f t="shared" si="0"/>
        <v>0</v>
      </c>
      <c r="H91" s="21"/>
      <c r="I91" s="21"/>
      <c r="J91" s="21"/>
      <c r="K91" s="21"/>
      <c r="L91" s="13"/>
      <c r="M91" s="19"/>
      <c r="P91" s="91">
        <v>600</v>
      </c>
    </row>
    <row r="92" spans="3:16" s="14" customFormat="1" ht="12.75" x14ac:dyDescent="0.2">
      <c r="C92" s="12"/>
      <c r="D92" s="15" t="s">
        <v>167</v>
      </c>
      <c r="E92" s="16" t="s">
        <v>168</v>
      </c>
      <c r="F92" s="17" t="s">
        <v>169</v>
      </c>
      <c r="G92" s="18">
        <f t="shared" si="0"/>
        <v>25.006</v>
      </c>
      <c r="H92" s="21"/>
      <c r="I92" s="21">
        <v>25.006</v>
      </c>
      <c r="J92" s="21"/>
      <c r="K92" s="21"/>
      <c r="L92" s="13"/>
      <c r="M92" s="19"/>
      <c r="P92" s="91">
        <v>610</v>
      </c>
    </row>
    <row r="93" spans="3:16" s="14" customFormat="1" ht="12.75" x14ac:dyDescent="0.2">
      <c r="C93" s="12"/>
      <c r="D93" s="15" t="s">
        <v>170</v>
      </c>
      <c r="E93" s="16" t="s">
        <v>171</v>
      </c>
      <c r="F93" s="17" t="s">
        <v>172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620</v>
      </c>
    </row>
    <row r="94" spans="3:16" s="14" customFormat="1" ht="12.75" x14ac:dyDescent="0.2">
      <c r="C94" s="12"/>
      <c r="D94" s="111" t="s">
        <v>173</v>
      </c>
      <c r="E94" s="112"/>
      <c r="F94" s="112"/>
      <c r="G94" s="112"/>
      <c r="H94" s="112"/>
      <c r="I94" s="112"/>
      <c r="J94" s="112"/>
      <c r="K94" s="113"/>
      <c r="L94" s="13"/>
      <c r="M94" s="19"/>
      <c r="P94" s="92"/>
    </row>
    <row r="95" spans="3:16" s="14" customFormat="1" ht="12.75" x14ac:dyDescent="0.2">
      <c r="C95" s="12"/>
      <c r="D95" s="15" t="s">
        <v>174</v>
      </c>
      <c r="E95" s="16" t="s">
        <v>175</v>
      </c>
      <c r="F95" s="17" t="s">
        <v>176</v>
      </c>
      <c r="G95" s="18">
        <f t="shared" si="0"/>
        <v>0</v>
      </c>
      <c r="H95" s="18">
        <f>SUM(H96:H97)</f>
        <v>0</v>
      </c>
      <c r="I95" s="18">
        <f>SUM(I96:I97)</f>
        <v>0</v>
      </c>
      <c r="J95" s="18">
        <f>SUM(J96:J97)</f>
        <v>0</v>
      </c>
      <c r="K95" s="18">
        <f>SUM(K96:K97)</f>
        <v>0</v>
      </c>
      <c r="L95" s="13"/>
      <c r="M95" s="19"/>
      <c r="P95" s="91">
        <v>700</v>
      </c>
    </row>
    <row r="96" spans="3:16" ht="12.75" x14ac:dyDescent="0.2">
      <c r="C96" s="2"/>
      <c r="D96" s="47" t="s">
        <v>177</v>
      </c>
      <c r="E96" s="20" t="s">
        <v>178</v>
      </c>
      <c r="F96" s="17" t="s">
        <v>179</v>
      </c>
      <c r="G96" s="18">
        <f t="shared" si="0"/>
        <v>0</v>
      </c>
      <c r="H96" s="48"/>
      <c r="I96" s="48"/>
      <c r="J96" s="48"/>
      <c r="K96" s="48"/>
      <c r="L96" s="8"/>
      <c r="M96" s="19"/>
      <c r="P96" s="91">
        <v>710</v>
      </c>
    </row>
    <row r="97" spans="3:16" ht="12.75" x14ac:dyDescent="0.2">
      <c r="C97" s="2"/>
      <c r="D97" s="47" t="s">
        <v>180</v>
      </c>
      <c r="E97" s="20" t="s">
        <v>181</v>
      </c>
      <c r="F97" s="17" t="s">
        <v>182</v>
      </c>
      <c r="G97" s="18">
        <f t="shared" si="0"/>
        <v>0</v>
      </c>
      <c r="H97" s="49">
        <f>H100</f>
        <v>0</v>
      </c>
      <c r="I97" s="49">
        <f>I100</f>
        <v>0</v>
      </c>
      <c r="J97" s="49">
        <f>J100</f>
        <v>0</v>
      </c>
      <c r="K97" s="49">
        <f>K100</f>
        <v>0</v>
      </c>
      <c r="L97" s="8"/>
      <c r="M97" s="19"/>
      <c r="P97" s="91">
        <v>720</v>
      </c>
    </row>
    <row r="98" spans="3:16" ht="12.75" x14ac:dyDescent="0.2">
      <c r="C98" s="2"/>
      <c r="D98" s="47" t="s">
        <v>183</v>
      </c>
      <c r="E98" s="42" t="s">
        <v>184</v>
      </c>
      <c r="F98" s="17" t="s">
        <v>185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730</v>
      </c>
    </row>
    <row r="99" spans="3:16" ht="12.75" x14ac:dyDescent="0.2">
      <c r="C99" s="2"/>
      <c r="D99" s="47" t="s">
        <v>186</v>
      </c>
      <c r="E99" s="43" t="s">
        <v>187</v>
      </c>
      <c r="F99" s="17" t="s">
        <v>188</v>
      </c>
      <c r="G99" s="18">
        <f t="shared" si="0"/>
        <v>0</v>
      </c>
      <c r="H99" s="48"/>
      <c r="I99" s="48"/>
      <c r="J99" s="48"/>
      <c r="K99" s="48"/>
      <c r="L99" s="8"/>
      <c r="M99" s="19"/>
      <c r="P99" s="91"/>
    </row>
    <row r="100" spans="3:16" ht="12.75" x14ac:dyDescent="0.2">
      <c r="C100" s="2"/>
      <c r="D100" s="47" t="s">
        <v>189</v>
      </c>
      <c r="E100" s="42" t="s">
        <v>190</v>
      </c>
      <c r="F100" s="17" t="s">
        <v>191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740</v>
      </c>
    </row>
    <row r="101" spans="3:16" ht="12.75" x14ac:dyDescent="0.2">
      <c r="C101" s="2"/>
      <c r="D101" s="47" t="s">
        <v>192</v>
      </c>
      <c r="E101" s="16" t="s">
        <v>193</v>
      </c>
      <c r="F101" s="17" t="s">
        <v>194</v>
      </c>
      <c r="G101" s="18">
        <f t="shared" si="0"/>
        <v>0</v>
      </c>
      <c r="H101" s="49">
        <f>H102+H118</f>
        <v>0</v>
      </c>
      <c r="I101" s="49">
        <f>I102+I118</f>
        <v>0</v>
      </c>
      <c r="J101" s="49">
        <f>J102+J118</f>
        <v>0</v>
      </c>
      <c r="K101" s="49">
        <f>K102+K118</f>
        <v>0</v>
      </c>
      <c r="L101" s="8"/>
      <c r="M101" s="19"/>
      <c r="P101" s="91">
        <v>750</v>
      </c>
    </row>
    <row r="102" spans="3:16" ht="12.75" x14ac:dyDescent="0.2">
      <c r="C102" s="2"/>
      <c r="D102" s="47" t="s">
        <v>195</v>
      </c>
      <c r="E102" s="20" t="s">
        <v>196</v>
      </c>
      <c r="F102" s="17" t="s">
        <v>197</v>
      </c>
      <c r="G102" s="18">
        <f t="shared" si="0"/>
        <v>0</v>
      </c>
      <c r="H102" s="49">
        <f>H103+H104</f>
        <v>0</v>
      </c>
      <c r="I102" s="49">
        <f>I103+I104</f>
        <v>0</v>
      </c>
      <c r="J102" s="49">
        <f>J103+J104</f>
        <v>0</v>
      </c>
      <c r="K102" s="49">
        <f>K103+K104</f>
        <v>0</v>
      </c>
      <c r="L102" s="8"/>
      <c r="M102" s="19"/>
      <c r="P102" s="91">
        <v>760</v>
      </c>
    </row>
    <row r="103" spans="3:16" ht="12.75" x14ac:dyDescent="0.2">
      <c r="C103" s="2"/>
      <c r="D103" s="47" t="s">
        <v>198</v>
      </c>
      <c r="E103" s="42" t="s">
        <v>199</v>
      </c>
      <c r="F103" s="17" t="s">
        <v>200</v>
      </c>
      <c r="G103" s="18">
        <f t="shared" si="0"/>
        <v>0</v>
      </c>
      <c r="H103" s="48"/>
      <c r="I103" s="48"/>
      <c r="J103" s="48"/>
      <c r="K103" s="48"/>
      <c r="L103" s="8"/>
      <c r="M103" s="19"/>
      <c r="P103" s="91"/>
    </row>
    <row r="104" spans="3:16" ht="12.75" x14ac:dyDescent="0.2">
      <c r="C104" s="2"/>
      <c r="D104" s="47" t="s">
        <v>201</v>
      </c>
      <c r="E104" s="42" t="s">
        <v>202</v>
      </c>
      <c r="F104" s="17" t="s">
        <v>203</v>
      </c>
      <c r="G104" s="18">
        <f t="shared" si="0"/>
        <v>0</v>
      </c>
      <c r="H104" s="49">
        <f>H105+H108+H111+H114+H115+H116+H117</f>
        <v>0</v>
      </c>
      <c r="I104" s="49">
        <f>I105+I108+I111+I114+I115+I116+I117</f>
        <v>0</v>
      </c>
      <c r="J104" s="49">
        <f>J105+J108+J111+J114+J115+J116+J117</f>
        <v>0</v>
      </c>
      <c r="K104" s="49">
        <f>K105+K108+K111+K114+K115+K116+K117</f>
        <v>0</v>
      </c>
      <c r="L104" s="8"/>
      <c r="M104" s="19"/>
      <c r="P104" s="91"/>
    </row>
    <row r="105" spans="3:16" ht="45" x14ac:dyDescent="0.2">
      <c r="C105" s="2"/>
      <c r="D105" s="47" t="s">
        <v>204</v>
      </c>
      <c r="E105" s="43" t="s">
        <v>205</v>
      </c>
      <c r="F105" s="17" t="s">
        <v>206</v>
      </c>
      <c r="G105" s="18">
        <f t="shared" si="0"/>
        <v>0</v>
      </c>
      <c r="H105" s="50">
        <f>H106+H107</f>
        <v>0</v>
      </c>
      <c r="I105" s="50">
        <f>I106+I107</f>
        <v>0</v>
      </c>
      <c r="J105" s="50">
        <f>J106+J107</f>
        <v>0</v>
      </c>
      <c r="K105" s="50">
        <f>K106+K107</f>
        <v>0</v>
      </c>
      <c r="L105" s="8"/>
      <c r="M105" s="19"/>
      <c r="P105" s="91"/>
    </row>
    <row r="106" spans="3:16" ht="12.75" x14ac:dyDescent="0.2">
      <c r="C106" s="2"/>
      <c r="D106" s="47" t="s">
        <v>207</v>
      </c>
      <c r="E106" s="51" t="s">
        <v>208</v>
      </c>
      <c r="F106" s="17" t="s">
        <v>209</v>
      </c>
      <c r="G106" s="18">
        <f t="shared" si="0"/>
        <v>0</v>
      </c>
      <c r="H106" s="48"/>
      <c r="I106" s="48"/>
      <c r="J106" s="48"/>
      <c r="K106" s="48"/>
      <c r="L106" s="8"/>
      <c r="M106" s="19"/>
      <c r="P106" s="91"/>
    </row>
    <row r="107" spans="3:16" ht="12.75" x14ac:dyDescent="0.2">
      <c r="C107" s="2"/>
      <c r="D107" s="47" t="s">
        <v>210</v>
      </c>
      <c r="E107" s="51" t="s">
        <v>211</v>
      </c>
      <c r="F107" s="17" t="s">
        <v>212</v>
      </c>
      <c r="G107" s="18">
        <f t="shared" si="0"/>
        <v>0</v>
      </c>
      <c r="H107" s="48"/>
      <c r="I107" s="48"/>
      <c r="J107" s="48"/>
      <c r="K107" s="48"/>
      <c r="L107" s="8"/>
      <c r="M107" s="19"/>
      <c r="P107" s="91"/>
    </row>
    <row r="108" spans="3:16" ht="45" x14ac:dyDescent="0.2">
      <c r="C108" s="2"/>
      <c r="D108" s="47" t="s">
        <v>213</v>
      </c>
      <c r="E108" s="43" t="s">
        <v>214</v>
      </c>
      <c r="F108" s="17" t="s">
        <v>215</v>
      </c>
      <c r="G108" s="18">
        <f t="shared" si="0"/>
        <v>0</v>
      </c>
      <c r="H108" s="50">
        <f>H109+H110</f>
        <v>0</v>
      </c>
      <c r="I108" s="50">
        <f>I109+I110</f>
        <v>0</v>
      </c>
      <c r="J108" s="50">
        <f>J109+J110</f>
        <v>0</v>
      </c>
      <c r="K108" s="50">
        <f>K109+K110</f>
        <v>0</v>
      </c>
      <c r="L108" s="8"/>
      <c r="M108" s="19"/>
      <c r="P108" s="91"/>
    </row>
    <row r="109" spans="3:16" ht="12.75" x14ac:dyDescent="0.2">
      <c r="C109" s="2"/>
      <c r="D109" s="47" t="s">
        <v>216</v>
      </c>
      <c r="E109" s="51" t="s">
        <v>208</v>
      </c>
      <c r="F109" s="17" t="s">
        <v>217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12.75" x14ac:dyDescent="0.2">
      <c r="C110" s="2"/>
      <c r="D110" s="47" t="s">
        <v>218</v>
      </c>
      <c r="E110" s="51" t="s">
        <v>211</v>
      </c>
      <c r="F110" s="17" t="s">
        <v>219</v>
      </c>
      <c r="G110" s="18">
        <f t="shared" si="0"/>
        <v>0</v>
      </c>
      <c r="H110" s="48"/>
      <c r="I110" s="48"/>
      <c r="J110" s="48"/>
      <c r="K110" s="48"/>
      <c r="L110" s="8"/>
      <c r="M110" s="19"/>
      <c r="P110" s="91"/>
    </row>
    <row r="111" spans="3:16" ht="22.5" x14ac:dyDescent="0.2">
      <c r="C111" s="2"/>
      <c r="D111" s="47" t="s">
        <v>220</v>
      </c>
      <c r="E111" s="43" t="s">
        <v>221</v>
      </c>
      <c r="F111" s="17" t="s">
        <v>222</v>
      </c>
      <c r="G111" s="18">
        <f t="shared" si="0"/>
        <v>0</v>
      </c>
      <c r="H111" s="50">
        <f>H112+H113</f>
        <v>0</v>
      </c>
      <c r="I111" s="50">
        <f>I112+I113</f>
        <v>0</v>
      </c>
      <c r="J111" s="50">
        <f>J112+J113</f>
        <v>0</v>
      </c>
      <c r="K111" s="50">
        <f>K112+K113</f>
        <v>0</v>
      </c>
      <c r="L111" s="8"/>
      <c r="M111" s="19"/>
      <c r="P111" s="91"/>
    </row>
    <row r="112" spans="3:16" ht="12.75" x14ac:dyDescent="0.2">
      <c r="C112" s="2"/>
      <c r="D112" s="47" t="s">
        <v>223</v>
      </c>
      <c r="E112" s="51" t="s">
        <v>208</v>
      </c>
      <c r="F112" s="17" t="s">
        <v>224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12.75" x14ac:dyDescent="0.2">
      <c r="C113" s="2"/>
      <c r="D113" s="47" t="s">
        <v>225</v>
      </c>
      <c r="E113" s="51" t="s">
        <v>211</v>
      </c>
      <c r="F113" s="17" t="s">
        <v>226</v>
      </c>
      <c r="G113" s="18">
        <f t="shared" si="0"/>
        <v>0</v>
      </c>
      <c r="H113" s="48"/>
      <c r="I113" s="48"/>
      <c r="J113" s="48"/>
      <c r="K113" s="48"/>
      <c r="L113" s="8"/>
      <c r="M113" s="19"/>
      <c r="P113" s="91"/>
    </row>
    <row r="114" spans="3:16" ht="22.5" x14ac:dyDescent="0.2">
      <c r="C114" s="2"/>
      <c r="D114" s="47" t="s">
        <v>227</v>
      </c>
      <c r="E114" s="43" t="s">
        <v>228</v>
      </c>
      <c r="F114" s="17" t="s">
        <v>229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230</v>
      </c>
      <c r="E115" s="43" t="s">
        <v>231</v>
      </c>
      <c r="F115" s="17" t="s">
        <v>232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45" x14ac:dyDescent="0.2">
      <c r="C116" s="2"/>
      <c r="D116" s="47" t="s">
        <v>233</v>
      </c>
      <c r="E116" s="43" t="s">
        <v>234</v>
      </c>
      <c r="F116" s="17" t="s">
        <v>235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22.5" x14ac:dyDescent="0.2">
      <c r="C117" s="2"/>
      <c r="D117" s="47" t="s">
        <v>236</v>
      </c>
      <c r="E117" s="43" t="s">
        <v>237</v>
      </c>
      <c r="F117" s="17" t="s">
        <v>238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12.75" x14ac:dyDescent="0.2">
      <c r="C118" s="2"/>
      <c r="D118" s="47" t="s">
        <v>239</v>
      </c>
      <c r="E118" s="20" t="s">
        <v>240</v>
      </c>
      <c r="F118" s="17" t="s">
        <v>241</v>
      </c>
      <c r="G118" s="18">
        <f t="shared" si="0"/>
        <v>0</v>
      </c>
      <c r="H118" s="49">
        <f>H121</f>
        <v>0</v>
      </c>
      <c r="I118" s="49">
        <f>I121</f>
        <v>0</v>
      </c>
      <c r="J118" s="49">
        <f>J121</f>
        <v>0</v>
      </c>
      <c r="K118" s="49">
        <f>K121</f>
        <v>0</v>
      </c>
      <c r="L118" s="8"/>
      <c r="M118" s="19"/>
      <c r="P118" s="91">
        <v>770</v>
      </c>
    </row>
    <row r="119" spans="3:16" ht="12.75" x14ac:dyDescent="0.2">
      <c r="C119" s="2"/>
      <c r="D119" s="47" t="s">
        <v>242</v>
      </c>
      <c r="E119" s="42" t="s">
        <v>184</v>
      </c>
      <c r="F119" s="17" t="s">
        <v>243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>
        <v>780</v>
      </c>
    </row>
    <row r="120" spans="3:16" ht="12.75" x14ac:dyDescent="0.2">
      <c r="C120" s="2"/>
      <c r="D120" s="47" t="s">
        <v>244</v>
      </c>
      <c r="E120" s="43" t="s">
        <v>245</v>
      </c>
      <c r="F120" s="17" t="s">
        <v>246</v>
      </c>
      <c r="G120" s="18">
        <f t="shared" si="0"/>
        <v>0</v>
      </c>
      <c r="H120" s="48"/>
      <c r="I120" s="48"/>
      <c r="J120" s="48"/>
      <c r="K120" s="48"/>
      <c r="L120" s="8"/>
      <c r="M120" s="19"/>
      <c r="P120" s="91"/>
    </row>
    <row r="121" spans="3:16" ht="12.75" x14ac:dyDescent="0.2">
      <c r="C121" s="2"/>
      <c r="D121" s="47" t="s">
        <v>247</v>
      </c>
      <c r="E121" s="42" t="s">
        <v>190</v>
      </c>
      <c r="F121" s="17" t="s">
        <v>248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790</v>
      </c>
    </row>
    <row r="122" spans="3:16" ht="22.5" x14ac:dyDescent="0.2">
      <c r="C122" s="2"/>
      <c r="D122" s="47" t="s">
        <v>249</v>
      </c>
      <c r="E122" s="40" t="s">
        <v>250</v>
      </c>
      <c r="F122" s="17" t="s">
        <v>251</v>
      </c>
      <c r="G122" s="18">
        <f t="shared" si="0"/>
        <v>6036.2860000000001</v>
      </c>
      <c r="H122" s="49">
        <f>SUM(H123:H124)</f>
        <v>67.459000000000003</v>
      </c>
      <c r="I122" s="49">
        <f>SUM(I123:I124)</f>
        <v>4219.5039999999999</v>
      </c>
      <c r="J122" s="49">
        <f>SUM(J123:J124)</f>
        <v>1062.904</v>
      </c>
      <c r="K122" s="49">
        <f>SUM(K123:K124)</f>
        <v>686.41899999999998</v>
      </c>
      <c r="L122" s="8"/>
      <c r="M122" s="19"/>
      <c r="P122" s="91"/>
    </row>
    <row r="123" spans="3:16" ht="12.75" x14ac:dyDescent="0.2">
      <c r="C123" s="2"/>
      <c r="D123" s="47" t="s">
        <v>252</v>
      </c>
      <c r="E123" s="20" t="s">
        <v>178</v>
      </c>
      <c r="F123" s="17" t="s">
        <v>253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/>
    </row>
    <row r="124" spans="3:16" ht="12.75" x14ac:dyDescent="0.2">
      <c r="C124" s="2"/>
      <c r="D124" s="47" t="s">
        <v>254</v>
      </c>
      <c r="E124" s="20" t="s">
        <v>181</v>
      </c>
      <c r="F124" s="17" t="s">
        <v>255</v>
      </c>
      <c r="G124" s="18">
        <f t="shared" si="0"/>
        <v>6036.2860000000001</v>
      </c>
      <c r="H124" s="49">
        <f>H126</f>
        <v>67.459000000000003</v>
      </c>
      <c r="I124" s="49">
        <f>I126</f>
        <v>4219.5039999999999</v>
      </c>
      <c r="J124" s="49">
        <f>J126</f>
        <v>1062.904</v>
      </c>
      <c r="K124" s="49">
        <f>K126</f>
        <v>686.41899999999998</v>
      </c>
      <c r="L124" s="8"/>
      <c r="M124" s="19"/>
      <c r="P124" s="91"/>
    </row>
    <row r="125" spans="3:16" ht="12.75" x14ac:dyDescent="0.2">
      <c r="C125" s="2"/>
      <c r="D125" s="47" t="s">
        <v>256</v>
      </c>
      <c r="E125" s="42" t="s">
        <v>257</v>
      </c>
      <c r="F125" s="17" t="s">
        <v>258</v>
      </c>
      <c r="G125" s="18">
        <f t="shared" si="0"/>
        <v>25.006</v>
      </c>
      <c r="H125" s="48"/>
      <c r="I125" s="48">
        <f>I92</f>
        <v>25.006</v>
      </c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259</v>
      </c>
      <c r="E126" s="42" t="s">
        <v>190</v>
      </c>
      <c r="F126" s="17" t="s">
        <v>260</v>
      </c>
      <c r="G126" s="18">
        <f t="shared" si="0"/>
        <v>6036.2860000000001</v>
      </c>
      <c r="H126" s="48">
        <f>H47</f>
        <v>67.459000000000003</v>
      </c>
      <c r="I126" s="48">
        <f>I33+105.409</f>
        <v>4219.5039999999999</v>
      </c>
      <c r="J126" s="48">
        <f>J33+4.469</f>
        <v>1062.904</v>
      </c>
      <c r="K126" s="48">
        <f>K33</f>
        <v>686.41899999999998</v>
      </c>
      <c r="L126" s="8"/>
      <c r="M126" s="19"/>
      <c r="P126" s="91"/>
    </row>
    <row r="127" spans="3:16" ht="12.75" x14ac:dyDescent="0.2">
      <c r="C127" s="2"/>
      <c r="D127" s="111" t="s">
        <v>261</v>
      </c>
      <c r="E127" s="112"/>
      <c r="F127" s="112"/>
      <c r="G127" s="112"/>
      <c r="H127" s="112"/>
      <c r="I127" s="112"/>
      <c r="J127" s="112"/>
      <c r="K127" s="113"/>
      <c r="L127" s="8"/>
      <c r="M127" s="19"/>
      <c r="P127" s="93"/>
    </row>
    <row r="128" spans="3:16" ht="22.5" x14ac:dyDescent="0.2">
      <c r="C128" s="2"/>
      <c r="D128" s="47" t="s">
        <v>262</v>
      </c>
      <c r="E128" s="16" t="s">
        <v>263</v>
      </c>
      <c r="F128" s="17" t="s">
        <v>264</v>
      </c>
      <c r="G128" s="18">
        <f t="shared" si="0"/>
        <v>0</v>
      </c>
      <c r="H128" s="49">
        <f>SUM( H129:H130)</f>
        <v>0</v>
      </c>
      <c r="I128" s="49">
        <f>SUM( I129:I130)</f>
        <v>0</v>
      </c>
      <c r="J128" s="49">
        <f>SUM( J129:J130)</f>
        <v>0</v>
      </c>
      <c r="K128" s="49">
        <f>SUM( K129:K130)</f>
        <v>0</v>
      </c>
      <c r="L128" s="8"/>
      <c r="M128" s="19"/>
      <c r="P128" s="91">
        <v>800</v>
      </c>
    </row>
    <row r="129" spans="3:16" ht="12.75" x14ac:dyDescent="0.2">
      <c r="C129" s="2"/>
      <c r="D129" s="47" t="s">
        <v>265</v>
      </c>
      <c r="E129" s="20" t="s">
        <v>178</v>
      </c>
      <c r="F129" s="17" t="s">
        <v>266</v>
      </c>
      <c r="G129" s="18">
        <f t="shared" si="0"/>
        <v>0</v>
      </c>
      <c r="H129" s="48"/>
      <c r="I129" s="48"/>
      <c r="J129" s="48"/>
      <c r="K129" s="48"/>
      <c r="L129" s="8"/>
      <c r="M129" s="19"/>
      <c r="P129" s="91">
        <v>810</v>
      </c>
    </row>
    <row r="130" spans="3:16" ht="12.75" x14ac:dyDescent="0.2">
      <c r="C130" s="2"/>
      <c r="D130" s="47" t="s">
        <v>267</v>
      </c>
      <c r="E130" s="20" t="s">
        <v>181</v>
      </c>
      <c r="F130" s="17" t="s">
        <v>268</v>
      </c>
      <c r="G130" s="18">
        <f t="shared" si="0"/>
        <v>0</v>
      </c>
      <c r="H130" s="49">
        <f>H131+H133</f>
        <v>0</v>
      </c>
      <c r="I130" s="49">
        <f>I131+I133</f>
        <v>0</v>
      </c>
      <c r="J130" s="49">
        <f>J131+J133</f>
        <v>0</v>
      </c>
      <c r="K130" s="49">
        <f>K131+K133</f>
        <v>0</v>
      </c>
      <c r="L130" s="8"/>
      <c r="M130" s="19"/>
      <c r="P130" s="91">
        <v>820</v>
      </c>
    </row>
    <row r="131" spans="3:16" ht="12.75" x14ac:dyDescent="0.2">
      <c r="C131" s="2"/>
      <c r="D131" s="47" t="s">
        <v>269</v>
      </c>
      <c r="E131" s="42" t="s">
        <v>270</v>
      </c>
      <c r="F131" s="17" t="s">
        <v>271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830</v>
      </c>
    </row>
    <row r="132" spans="3:16" ht="12.75" x14ac:dyDescent="0.2">
      <c r="C132" s="2"/>
      <c r="D132" s="47" t="s">
        <v>272</v>
      </c>
      <c r="E132" s="43" t="s">
        <v>273</v>
      </c>
      <c r="F132" s="17" t="s">
        <v>274</v>
      </c>
      <c r="G132" s="18">
        <f t="shared" si="0"/>
        <v>0</v>
      </c>
      <c r="H132" s="48"/>
      <c r="I132" s="48"/>
      <c r="J132" s="48"/>
      <c r="K132" s="48"/>
      <c r="L132" s="8"/>
      <c r="M132" s="19"/>
      <c r="P132" s="93"/>
    </row>
    <row r="133" spans="3:16" ht="12.75" x14ac:dyDescent="0.2">
      <c r="C133" s="2"/>
      <c r="D133" s="47" t="s">
        <v>275</v>
      </c>
      <c r="E133" s="42" t="s">
        <v>276</v>
      </c>
      <c r="F133" s="17" t="s">
        <v>277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840</v>
      </c>
    </row>
    <row r="134" spans="3:16" ht="12.75" x14ac:dyDescent="0.2">
      <c r="C134" s="2"/>
      <c r="D134" s="47" t="s">
        <v>19</v>
      </c>
      <c r="E134" s="16" t="s">
        <v>278</v>
      </c>
      <c r="F134" s="17" t="s">
        <v>279</v>
      </c>
      <c r="G134" s="18">
        <f t="shared" si="0"/>
        <v>0</v>
      </c>
      <c r="H134" s="50">
        <f>SUM( H135+H140)</f>
        <v>0</v>
      </c>
      <c r="I134" s="50">
        <f>SUM( I135+I140)</f>
        <v>0</v>
      </c>
      <c r="J134" s="50">
        <f>SUM( J135+J140)</f>
        <v>0</v>
      </c>
      <c r="K134" s="50">
        <f>SUM( K135+K140)</f>
        <v>0</v>
      </c>
      <c r="L134" s="52"/>
      <c r="M134" s="19"/>
      <c r="P134" s="91">
        <v>850</v>
      </c>
    </row>
    <row r="135" spans="3:16" ht="12.75" x14ac:dyDescent="0.2">
      <c r="C135" s="2"/>
      <c r="D135" s="47" t="s">
        <v>280</v>
      </c>
      <c r="E135" s="20" t="s">
        <v>178</v>
      </c>
      <c r="F135" s="17" t="s">
        <v>281</v>
      </c>
      <c r="G135" s="18">
        <f t="shared" ref="G135:G148" si="1">SUM(H135:K135)</f>
        <v>0</v>
      </c>
      <c r="H135" s="50">
        <f>SUM( H136:H137)</f>
        <v>0</v>
      </c>
      <c r="I135" s="50">
        <f>SUM( I136:I137)</f>
        <v>0</v>
      </c>
      <c r="J135" s="50">
        <f>SUM( J136:J137)</f>
        <v>0</v>
      </c>
      <c r="K135" s="50">
        <f>SUM( K136:K137)</f>
        <v>0</v>
      </c>
      <c r="L135" s="52"/>
      <c r="M135" s="19"/>
      <c r="P135" s="91">
        <v>860</v>
      </c>
    </row>
    <row r="136" spans="3:16" ht="12.75" x14ac:dyDescent="0.2">
      <c r="C136" s="2"/>
      <c r="D136" s="47" t="s">
        <v>282</v>
      </c>
      <c r="E136" s="42" t="s">
        <v>199</v>
      </c>
      <c r="F136" s="17" t="s">
        <v>283</v>
      </c>
      <c r="G136" s="18">
        <f t="shared" si="1"/>
        <v>0</v>
      </c>
      <c r="H136" s="53"/>
      <c r="I136" s="53"/>
      <c r="J136" s="53"/>
      <c r="K136" s="53"/>
      <c r="L136" s="52"/>
      <c r="M136" s="19"/>
      <c r="P136" s="91"/>
    </row>
    <row r="137" spans="3:16" ht="12.75" x14ac:dyDescent="0.2">
      <c r="C137" s="2"/>
      <c r="D137" s="47" t="s">
        <v>284</v>
      </c>
      <c r="E137" s="42" t="s">
        <v>202</v>
      </c>
      <c r="F137" s="17" t="s">
        <v>285</v>
      </c>
      <c r="G137" s="18">
        <f t="shared" si="1"/>
        <v>0</v>
      </c>
      <c r="H137" s="50">
        <f>H138+H139</f>
        <v>0</v>
      </c>
      <c r="I137" s="50">
        <f>I138+I139</f>
        <v>0</v>
      </c>
      <c r="J137" s="50">
        <f>J138+J139</f>
        <v>0</v>
      </c>
      <c r="K137" s="50">
        <f>K138+K139</f>
        <v>0</v>
      </c>
      <c r="L137" s="52"/>
      <c r="M137" s="19"/>
      <c r="P137" s="91"/>
    </row>
    <row r="138" spans="3:16" ht="12.75" x14ac:dyDescent="0.2">
      <c r="C138" s="2"/>
      <c r="D138" s="47" t="s">
        <v>286</v>
      </c>
      <c r="E138" s="43" t="s">
        <v>208</v>
      </c>
      <c r="F138" s="17" t="s">
        <v>287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288</v>
      </c>
      <c r="E139" s="43" t="s">
        <v>289</v>
      </c>
      <c r="F139" s="17" t="s">
        <v>290</v>
      </c>
      <c r="G139" s="18">
        <f t="shared" si="1"/>
        <v>0</v>
      </c>
      <c r="H139" s="53"/>
      <c r="I139" s="53"/>
      <c r="J139" s="53"/>
      <c r="K139" s="53"/>
      <c r="L139" s="52"/>
      <c r="M139" s="19"/>
      <c r="P139" s="91"/>
    </row>
    <row r="140" spans="3:16" ht="12.75" x14ac:dyDescent="0.2">
      <c r="C140" s="2"/>
      <c r="D140" s="47" t="s">
        <v>291</v>
      </c>
      <c r="E140" s="20" t="s">
        <v>240</v>
      </c>
      <c r="F140" s="17" t="s">
        <v>292</v>
      </c>
      <c r="G140" s="18">
        <f t="shared" si="1"/>
        <v>0</v>
      </c>
      <c r="H140" s="50">
        <f>H141+H143</f>
        <v>0</v>
      </c>
      <c r="I140" s="50">
        <f>I141+I143</f>
        <v>0</v>
      </c>
      <c r="J140" s="50">
        <f>J141+J143</f>
        <v>0</v>
      </c>
      <c r="K140" s="50">
        <f>K141+K143</f>
        <v>0</v>
      </c>
      <c r="L140" s="52"/>
      <c r="M140" s="19"/>
      <c r="P140" s="91">
        <v>870</v>
      </c>
    </row>
    <row r="141" spans="3:16" ht="12.75" x14ac:dyDescent="0.2">
      <c r="C141" s="2"/>
      <c r="D141" s="47" t="s">
        <v>293</v>
      </c>
      <c r="E141" s="42" t="s">
        <v>270</v>
      </c>
      <c r="F141" s="17" t="s">
        <v>294</v>
      </c>
      <c r="G141" s="18">
        <f t="shared" si="1"/>
        <v>0</v>
      </c>
      <c r="H141" s="48"/>
      <c r="I141" s="48"/>
      <c r="J141" s="48"/>
      <c r="K141" s="48"/>
      <c r="L141" s="52"/>
      <c r="M141" s="19"/>
      <c r="P141" s="91">
        <v>880</v>
      </c>
    </row>
    <row r="142" spans="3:16" ht="12.75" x14ac:dyDescent="0.2">
      <c r="C142" s="2"/>
      <c r="D142" s="47" t="s">
        <v>295</v>
      </c>
      <c r="E142" s="43" t="s">
        <v>273</v>
      </c>
      <c r="F142" s="17" t="s">
        <v>296</v>
      </c>
      <c r="G142" s="18">
        <f t="shared" si="1"/>
        <v>0</v>
      </c>
      <c r="H142" s="48"/>
      <c r="I142" s="48"/>
      <c r="J142" s="48"/>
      <c r="K142" s="48"/>
      <c r="L142" s="52"/>
      <c r="M142" s="19"/>
      <c r="P142" s="91"/>
    </row>
    <row r="143" spans="3:16" ht="12.75" x14ac:dyDescent="0.2">
      <c r="C143" s="2"/>
      <c r="D143" s="47" t="s">
        <v>297</v>
      </c>
      <c r="E143" s="42" t="s">
        <v>276</v>
      </c>
      <c r="F143" s="17" t="s">
        <v>298</v>
      </c>
      <c r="G143" s="18">
        <f t="shared" si="1"/>
        <v>0</v>
      </c>
      <c r="H143" s="54"/>
      <c r="I143" s="54"/>
      <c r="J143" s="54"/>
      <c r="K143" s="54"/>
      <c r="L143" s="52"/>
      <c r="M143" s="19"/>
      <c r="P143" s="91">
        <v>890</v>
      </c>
    </row>
    <row r="144" spans="3:16" ht="22.5" x14ac:dyDescent="0.2">
      <c r="C144" s="2"/>
      <c r="D144" s="47" t="s">
        <v>299</v>
      </c>
      <c r="E144" s="16" t="s">
        <v>300</v>
      </c>
      <c r="F144" s="17" t="s">
        <v>301</v>
      </c>
      <c r="G144" s="18">
        <f t="shared" si="1"/>
        <v>3634.6848943919995</v>
      </c>
      <c r="H144" s="55">
        <f>SUM( H145:H146)</f>
        <v>7.1965261200000006</v>
      </c>
      <c r="I144" s="55">
        <f>SUM( I145:I146)</f>
        <v>3440.8705906319997</v>
      </c>
      <c r="J144" s="55">
        <f>SUM( J145:J146)</f>
        <v>113.39059872</v>
      </c>
      <c r="K144" s="55">
        <f>SUM( K145:K146)</f>
        <v>73.22717892</v>
      </c>
      <c r="L144" s="52"/>
      <c r="M144" s="19"/>
      <c r="P144" s="91">
        <v>900</v>
      </c>
    </row>
    <row r="145" spans="3:19" ht="12.75" x14ac:dyDescent="0.2">
      <c r="C145" s="2"/>
      <c r="D145" s="47" t="s">
        <v>302</v>
      </c>
      <c r="E145" s="20" t="s">
        <v>178</v>
      </c>
      <c r="F145" s="17" t="s">
        <v>303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/>
    </row>
    <row r="146" spans="3:19" ht="12.75" x14ac:dyDescent="0.2">
      <c r="C146" s="2"/>
      <c r="D146" s="47" t="s">
        <v>304</v>
      </c>
      <c r="E146" s="20" t="s">
        <v>181</v>
      </c>
      <c r="F146" s="17" t="s">
        <v>305</v>
      </c>
      <c r="G146" s="18">
        <f t="shared" si="1"/>
        <v>3634.6848943919995</v>
      </c>
      <c r="H146" s="55">
        <f>H147+H148</f>
        <v>7.1965261200000006</v>
      </c>
      <c r="I146" s="55">
        <f>I147+I148</f>
        <v>3440.8705906319997</v>
      </c>
      <c r="J146" s="55">
        <f>J147+J148</f>
        <v>113.39059872</v>
      </c>
      <c r="K146" s="55">
        <f>K147+K148</f>
        <v>73.22717892</v>
      </c>
      <c r="L146" s="52"/>
      <c r="M146" s="19"/>
      <c r="P146" s="91"/>
    </row>
    <row r="147" spans="3:19" ht="12.75" x14ac:dyDescent="0.2">
      <c r="C147" s="2"/>
      <c r="D147" s="47" t="s">
        <v>306</v>
      </c>
      <c r="E147" s="42" t="s">
        <v>307</v>
      </c>
      <c r="F147" s="17" t="s">
        <v>308</v>
      </c>
      <c r="G147" s="18">
        <f t="shared" si="1"/>
        <v>2990.7339039119997</v>
      </c>
      <c r="H147" s="54"/>
      <c r="I147" s="54">
        <f>I125*99667.21/1000*1.2</f>
        <v>2990.7339039119997</v>
      </c>
      <c r="J147" s="54"/>
      <c r="K147" s="54"/>
      <c r="L147" s="52"/>
      <c r="M147" s="19"/>
      <c r="P147" s="91" t="s">
        <v>338</v>
      </c>
    </row>
    <row r="148" spans="3:19" ht="12.75" x14ac:dyDescent="0.2">
      <c r="C148" s="2"/>
      <c r="D148" s="47" t="s">
        <v>309</v>
      </c>
      <c r="E148" s="42" t="s">
        <v>276</v>
      </c>
      <c r="F148" s="17" t="s">
        <v>310</v>
      </c>
      <c r="G148" s="18">
        <f t="shared" si="1"/>
        <v>643.95099047999997</v>
      </c>
      <c r="H148" s="54">
        <f>H126*88.9/1000*1.2</f>
        <v>7.1965261200000006</v>
      </c>
      <c r="I148" s="54">
        <f>I126*88.9/1000*1.2</f>
        <v>450.13668672</v>
      </c>
      <c r="J148" s="54">
        <f>J126*88.9/1000*1.2</f>
        <v>113.39059872</v>
      </c>
      <c r="K148" s="54">
        <f>K126*88.9/1000*1.2</f>
        <v>73.22717892</v>
      </c>
      <c r="L148" s="52"/>
      <c r="M148" s="19"/>
      <c r="P148" s="91" t="s">
        <v>339</v>
      </c>
    </row>
    <row r="149" spans="3:19" x14ac:dyDescent="0.25">
      <c r="D149" s="6"/>
      <c r="E149" s="56"/>
      <c r="F149" s="56"/>
      <c r="G149" s="56"/>
      <c r="H149" s="56"/>
      <c r="I149" s="56"/>
      <c r="J149" s="56"/>
      <c r="K149" s="57"/>
      <c r="L149" s="57"/>
      <c r="M149" s="57"/>
      <c r="N149" s="57"/>
      <c r="O149" s="57"/>
      <c r="P149" s="57"/>
      <c r="Q149" s="57"/>
      <c r="R149" s="94"/>
      <c r="S149" s="94"/>
    </row>
    <row r="150" spans="3:19" ht="12.75" x14ac:dyDescent="0.2">
      <c r="E150" s="19" t="s">
        <v>311</v>
      </c>
      <c r="F150" s="103" t="str">
        <f>IF([8]Титульный!G45="","",[8]Титульный!G45)</f>
        <v>экономист</v>
      </c>
      <c r="G150" s="103"/>
      <c r="H150" s="58"/>
      <c r="I150" s="103" t="str">
        <f>IF([8]Титульный!G44="","",[8]Титульный!G44)</f>
        <v>Кривнева Е. В.</v>
      </c>
      <c r="J150" s="103"/>
      <c r="K150" s="103"/>
      <c r="L150" s="58"/>
      <c r="M150" s="59"/>
      <c r="N150" s="59"/>
      <c r="O150" s="61"/>
      <c r="P150" s="57"/>
      <c r="Q150" s="57"/>
      <c r="R150" s="94"/>
      <c r="S150" s="94"/>
    </row>
    <row r="151" spans="3:19" ht="12.75" x14ac:dyDescent="0.2">
      <c r="E151" s="60" t="s">
        <v>312</v>
      </c>
      <c r="F151" s="102" t="s">
        <v>313</v>
      </c>
      <c r="G151" s="102"/>
      <c r="H151" s="61"/>
      <c r="I151" s="102" t="s">
        <v>314</v>
      </c>
      <c r="J151" s="102"/>
      <c r="K151" s="102"/>
      <c r="L151" s="61"/>
      <c r="M151" s="102" t="s">
        <v>315</v>
      </c>
      <c r="N151" s="102"/>
      <c r="O151" s="19"/>
      <c r="P151" s="57"/>
      <c r="Q151" s="57"/>
      <c r="R151" s="94"/>
      <c r="S151" s="94"/>
    </row>
    <row r="152" spans="3:19" ht="12.75" x14ac:dyDescent="0.2">
      <c r="E152" s="60" t="s">
        <v>316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57"/>
      <c r="Q152" s="57"/>
      <c r="R152" s="94"/>
      <c r="S152" s="94"/>
    </row>
    <row r="153" spans="3:19" ht="12.75" x14ac:dyDescent="0.2">
      <c r="E153" s="60" t="s">
        <v>317</v>
      </c>
      <c r="F153" s="103" t="str">
        <f>IF([8]Титульный!G46="","",[8]Титульный!G46)</f>
        <v>(861) 258-50-71</v>
      </c>
      <c r="G153" s="103"/>
      <c r="H153" s="103"/>
      <c r="I153" s="19"/>
      <c r="J153" s="60" t="s">
        <v>318</v>
      </c>
      <c r="K153" s="97"/>
      <c r="L153" s="19"/>
      <c r="M153" s="19"/>
      <c r="N153" s="19"/>
      <c r="O153" s="19"/>
      <c r="P153" s="57"/>
      <c r="Q153" s="57"/>
      <c r="R153" s="94"/>
      <c r="S153" s="94"/>
    </row>
    <row r="154" spans="3:19" ht="12.75" x14ac:dyDescent="0.2">
      <c r="E154" s="19" t="s">
        <v>319</v>
      </c>
      <c r="F154" s="104" t="s">
        <v>320</v>
      </c>
      <c r="G154" s="104"/>
      <c r="H154" s="104"/>
      <c r="I154" s="19"/>
      <c r="J154" s="63" t="s">
        <v>321</v>
      </c>
      <c r="K154" s="63"/>
      <c r="L154" s="19"/>
      <c r="M154" s="19"/>
      <c r="N154" s="19"/>
      <c r="O154" s="19"/>
      <c r="P154" s="57"/>
      <c r="Q154" s="57"/>
      <c r="R154" s="94"/>
      <c r="S154" s="94"/>
    </row>
    <row r="155" spans="3:19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94"/>
      <c r="S155" s="94"/>
    </row>
    <row r="156" spans="3:19" x14ac:dyDescent="0.25"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5:19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</sheetData>
  <mergeCells count="18"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  <mergeCell ref="F151:G151"/>
    <mergeCell ref="I151:K151"/>
    <mergeCell ref="M151:N151"/>
    <mergeCell ref="F153:H153"/>
    <mergeCell ref="F154:H154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65:K79 G15:K18 G81:K89 G95:K126 G61:K63 G43:K51 G27:K41 G128:K148 G58:K59 G20:K21 G53:K5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3"/>
  <sheetViews>
    <sheetView topLeftCell="C7" workbookViewId="0">
      <selection activeCell="O28" sqref="O28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101" t="s">
        <v>7</v>
      </c>
      <c r="I12" s="101" t="s">
        <v>8</v>
      </c>
      <c r="J12" s="101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6832.8579999999993</v>
      </c>
      <c r="H15" s="18">
        <f>H16+H17+H20+H23</f>
        <v>909.39200000000005</v>
      </c>
      <c r="I15" s="18">
        <f>I16+I17+I20+I23</f>
        <v>5661.61</v>
      </c>
      <c r="J15" s="18">
        <f>J16+J17+J20+J23</f>
        <v>261.85599999999999</v>
      </c>
      <c r="K15" s="18">
        <f>K16+K17+K20+K23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4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</v>
      </c>
      <c r="H17" s="18">
        <f>SUM(H18:H19)</f>
        <v>0</v>
      </c>
      <c r="I17" s="18">
        <f>SUM(I18:I19)</f>
        <v>0</v>
      </c>
      <c r="J17" s="18">
        <f>SUM(J18:J19)</f>
        <v>0</v>
      </c>
      <c r="K17" s="18">
        <f>SUM(K18:K19)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2.75" x14ac:dyDescent="0.2">
      <c r="C19" s="12"/>
      <c r="D19" s="26"/>
      <c r="E19" s="27" t="s">
        <v>20</v>
      </c>
      <c r="F19" s="28"/>
      <c r="G19" s="28"/>
      <c r="H19" s="28"/>
      <c r="I19" s="28"/>
      <c r="J19" s="28"/>
      <c r="K19" s="29"/>
      <c r="L19" s="13"/>
      <c r="M19" s="19"/>
      <c r="P19" s="92"/>
    </row>
    <row r="20" spans="3:16" s="14" customFormat="1" ht="12.75" x14ac:dyDescent="0.2">
      <c r="C20" s="12"/>
      <c r="D20" s="15" t="s">
        <v>21</v>
      </c>
      <c r="E20" s="20" t="s">
        <v>22</v>
      </c>
      <c r="F20" s="17" t="s">
        <v>23</v>
      </c>
      <c r="G20" s="18">
        <f t="shared" si="0"/>
        <v>0</v>
      </c>
      <c r="H20" s="18">
        <f>SUM(H21:H22)</f>
        <v>0</v>
      </c>
      <c r="I20" s="18">
        <f>SUM(I21:I22)</f>
        <v>0</v>
      </c>
      <c r="J20" s="18">
        <f>SUM(J21:J22)</f>
        <v>0</v>
      </c>
      <c r="K20" s="18">
        <f>SUM(K21:K22)</f>
        <v>0</v>
      </c>
      <c r="L20" s="13"/>
      <c r="M20" s="19"/>
      <c r="P20" s="92"/>
    </row>
    <row r="21" spans="3:16" s="14" customFormat="1" ht="12.75" x14ac:dyDescent="0.2">
      <c r="C21" s="12"/>
      <c r="D21" s="22" t="s">
        <v>24</v>
      </c>
      <c r="E21" s="23"/>
      <c r="F21" s="24" t="s">
        <v>23</v>
      </c>
      <c r="G21" s="25"/>
      <c r="H21" s="25"/>
      <c r="I21" s="25"/>
      <c r="J21" s="25"/>
      <c r="K21" s="25"/>
      <c r="L21" s="13"/>
      <c r="M21" s="19"/>
      <c r="P21" s="91"/>
    </row>
    <row r="22" spans="3:16" s="14" customFormat="1" ht="12.75" x14ac:dyDescent="0.2">
      <c r="C22" s="12"/>
      <c r="D22" s="26"/>
      <c r="E22" s="27" t="s">
        <v>20</v>
      </c>
      <c r="F22" s="28"/>
      <c r="G22" s="28"/>
      <c r="H22" s="28"/>
      <c r="I22" s="28"/>
      <c r="J22" s="28"/>
      <c r="K22" s="29"/>
      <c r="L22" s="13"/>
      <c r="M22" s="19"/>
      <c r="P22" s="92"/>
    </row>
    <row r="23" spans="3:16" s="14" customFormat="1" ht="12.75" x14ac:dyDescent="0.2">
      <c r="C23" s="12"/>
      <c r="D23" s="15" t="s">
        <v>25</v>
      </c>
      <c r="E23" s="20" t="s">
        <v>26</v>
      </c>
      <c r="F23" s="17" t="s">
        <v>27</v>
      </c>
      <c r="G23" s="18">
        <f t="shared" si="0"/>
        <v>6832.8579999999993</v>
      </c>
      <c r="H23" s="18">
        <f>SUM(H24:H26)</f>
        <v>909.39200000000005</v>
      </c>
      <c r="I23" s="18">
        <f>SUM(I24:I26)</f>
        <v>5661.61</v>
      </c>
      <c r="J23" s="18">
        <f>SUM(J24:J26)</f>
        <v>261.85599999999999</v>
      </c>
      <c r="K23" s="18">
        <f>SUM(K24:K26)</f>
        <v>0</v>
      </c>
      <c r="L23" s="13"/>
      <c r="M23" s="19"/>
      <c r="P23" s="91">
        <v>40</v>
      </c>
    </row>
    <row r="24" spans="3:16" s="14" customFormat="1" ht="12.75" x14ac:dyDescent="0.2">
      <c r="C24" s="12"/>
      <c r="D24" s="22" t="s">
        <v>28</v>
      </c>
      <c r="E24" s="23"/>
      <c r="F24" s="24" t="s">
        <v>27</v>
      </c>
      <c r="G24" s="25"/>
      <c r="H24" s="25"/>
      <c r="I24" s="25"/>
      <c r="J24" s="25"/>
      <c r="K24" s="25"/>
      <c r="L24" s="13"/>
      <c r="M24" s="19"/>
      <c r="P24" s="91"/>
    </row>
    <row r="25" spans="3:16" s="14" customFormat="1" ht="15" x14ac:dyDescent="0.25">
      <c r="C25" s="30" t="s">
        <v>29</v>
      </c>
      <c r="D25" s="31" t="s">
        <v>30</v>
      </c>
      <c r="E25" s="32" t="s">
        <v>31</v>
      </c>
      <c r="F25" s="33">
        <v>431</v>
      </c>
      <c r="G25" s="34">
        <f>SUM(H25:K25)</f>
        <v>6832.8579999999993</v>
      </c>
      <c r="H25" s="35">
        <v>909.39200000000005</v>
      </c>
      <c r="I25" s="35">
        <v>5661.61</v>
      </c>
      <c r="J25" s="35">
        <v>261.85599999999999</v>
      </c>
      <c r="K25" s="36"/>
      <c r="L25" s="13"/>
      <c r="M25" s="37" t="s">
        <v>32</v>
      </c>
      <c r="N25" s="38" t="s">
        <v>33</v>
      </c>
      <c r="O25" s="38" t="s">
        <v>336</v>
      </c>
    </row>
    <row r="26" spans="3:16" s="14" customFormat="1" ht="12.75" x14ac:dyDescent="0.2">
      <c r="C26" s="12"/>
      <c r="D26" s="26"/>
      <c r="E26" s="27" t="s">
        <v>20</v>
      </c>
      <c r="F26" s="28"/>
      <c r="G26" s="28"/>
      <c r="H26" s="28"/>
      <c r="I26" s="28"/>
      <c r="J26" s="28"/>
      <c r="K26" s="29"/>
      <c r="L26" s="13"/>
      <c r="M26" s="19"/>
      <c r="P26" s="91"/>
    </row>
    <row r="27" spans="3:16" s="14" customFormat="1" ht="12.75" x14ac:dyDescent="0.2">
      <c r="C27" s="12"/>
      <c r="D27" s="15" t="s">
        <v>34</v>
      </c>
      <c r="E27" s="16" t="s">
        <v>35</v>
      </c>
      <c r="F27" s="17" t="s">
        <v>36</v>
      </c>
      <c r="G27" s="18">
        <f t="shared" si="0"/>
        <v>2331.4580000000001</v>
      </c>
      <c r="H27" s="18">
        <f>H29+H30+H31</f>
        <v>0</v>
      </c>
      <c r="I27" s="18">
        <f>I28+I30+I31</f>
        <v>0</v>
      </c>
      <c r="J27" s="18">
        <f>J28+J29+J31</f>
        <v>1673.8520000000001</v>
      </c>
      <c r="K27" s="18">
        <f>K28+K29+K30</f>
        <v>657.60599999999999</v>
      </c>
      <c r="L27" s="13"/>
      <c r="M27" s="19"/>
      <c r="P27" s="91">
        <v>50</v>
      </c>
    </row>
    <row r="28" spans="3:16" s="14" customFormat="1" ht="12.75" x14ac:dyDescent="0.2">
      <c r="C28" s="12"/>
      <c r="D28" s="15" t="s">
        <v>37</v>
      </c>
      <c r="E28" s="20" t="s">
        <v>7</v>
      </c>
      <c r="F28" s="17" t="s">
        <v>38</v>
      </c>
      <c r="G28" s="18">
        <f t="shared" si="0"/>
        <v>798.38800000000003</v>
      </c>
      <c r="H28" s="39"/>
      <c r="I28" s="21"/>
      <c r="J28" s="21">
        <f>H44</f>
        <v>798.38800000000003</v>
      </c>
      <c r="K28" s="21"/>
      <c r="L28" s="13"/>
      <c r="M28" s="19"/>
      <c r="P28" s="91">
        <v>60</v>
      </c>
    </row>
    <row r="29" spans="3:16" s="14" customFormat="1" ht="12.75" x14ac:dyDescent="0.2">
      <c r="C29" s="12"/>
      <c r="D29" s="15" t="s">
        <v>39</v>
      </c>
      <c r="E29" s="20" t="s">
        <v>8</v>
      </c>
      <c r="F29" s="17" t="s">
        <v>40</v>
      </c>
      <c r="G29" s="18">
        <f t="shared" si="0"/>
        <v>875.46400000000006</v>
      </c>
      <c r="H29" s="21"/>
      <c r="I29" s="39"/>
      <c r="J29" s="21">
        <f>I25-I33-I47</f>
        <v>875.46400000000006</v>
      </c>
      <c r="K29" s="21"/>
      <c r="L29" s="13"/>
      <c r="M29" s="19"/>
      <c r="P29" s="91">
        <v>70</v>
      </c>
    </row>
    <row r="30" spans="3:16" s="14" customFormat="1" ht="12.75" x14ac:dyDescent="0.2">
      <c r="C30" s="12"/>
      <c r="D30" s="15" t="s">
        <v>41</v>
      </c>
      <c r="E30" s="20" t="s">
        <v>9</v>
      </c>
      <c r="F30" s="17" t="s">
        <v>42</v>
      </c>
      <c r="G30" s="18">
        <f t="shared" si="0"/>
        <v>657.60599999999999</v>
      </c>
      <c r="H30" s="21"/>
      <c r="I30" s="21"/>
      <c r="J30" s="39"/>
      <c r="K30" s="21">
        <f>J23+J27+J17-J47-J33</f>
        <v>657.60599999999999</v>
      </c>
      <c r="L30" s="13"/>
      <c r="M30" s="19"/>
      <c r="P30" s="91">
        <v>80</v>
      </c>
    </row>
    <row r="31" spans="3:16" s="14" customFormat="1" ht="12.75" x14ac:dyDescent="0.2">
      <c r="C31" s="12"/>
      <c r="D31" s="15" t="s">
        <v>43</v>
      </c>
      <c r="E31" s="20" t="s">
        <v>44</v>
      </c>
      <c r="F31" s="17" t="s">
        <v>45</v>
      </c>
      <c r="G31" s="18">
        <f t="shared" si="0"/>
        <v>0</v>
      </c>
      <c r="H31" s="21"/>
      <c r="I31" s="21"/>
      <c r="J31" s="21"/>
      <c r="K31" s="39"/>
      <c r="L31" s="13"/>
      <c r="M31" s="19"/>
      <c r="P31" s="91">
        <v>90</v>
      </c>
    </row>
    <row r="32" spans="3:16" s="14" customFormat="1" ht="12.75" x14ac:dyDescent="0.2">
      <c r="C32" s="12"/>
      <c r="D32" s="15" t="s">
        <v>46</v>
      </c>
      <c r="E32" s="40" t="s">
        <v>47</v>
      </c>
      <c r="F32" s="17" t="s">
        <v>48</v>
      </c>
      <c r="G32" s="18">
        <f t="shared" si="0"/>
        <v>0</v>
      </c>
      <c r="H32" s="21"/>
      <c r="I32" s="21"/>
      <c r="J32" s="21"/>
      <c r="K32" s="21"/>
      <c r="L32" s="13"/>
      <c r="M32" s="19"/>
      <c r="P32" s="91"/>
    </row>
    <row r="33" spans="3:16" s="14" customFormat="1" ht="12.75" x14ac:dyDescent="0.2">
      <c r="C33" s="12"/>
      <c r="D33" s="15" t="s">
        <v>49</v>
      </c>
      <c r="E33" s="16" t="s">
        <v>50</v>
      </c>
      <c r="F33" s="41" t="s">
        <v>51</v>
      </c>
      <c r="G33" s="18">
        <f t="shared" si="0"/>
        <v>6637.1579999999994</v>
      </c>
      <c r="H33" s="18">
        <f>H34+H36+H39+H43</f>
        <v>0</v>
      </c>
      <c r="I33" s="18">
        <f>I34+I36+I39+I43</f>
        <v>4767.8419999999996</v>
      </c>
      <c r="J33" s="18">
        <f>J34+J36+J39+J43</f>
        <v>1233.422</v>
      </c>
      <c r="K33" s="18">
        <f>K34+K36+K39+K43</f>
        <v>635.89400000000001</v>
      </c>
      <c r="L33" s="13"/>
      <c r="M33" s="19"/>
      <c r="P33" s="91">
        <v>100</v>
      </c>
    </row>
    <row r="34" spans="3:16" s="14" customFormat="1" ht="22.5" x14ac:dyDescent="0.2">
      <c r="C34" s="12"/>
      <c r="D34" s="15" t="s">
        <v>52</v>
      </c>
      <c r="E34" s="20" t="s">
        <v>53</v>
      </c>
      <c r="F34" s="17" t="s">
        <v>54</v>
      </c>
      <c r="G34" s="18">
        <f t="shared" si="0"/>
        <v>0</v>
      </c>
      <c r="H34" s="21"/>
      <c r="I34" s="21"/>
      <c r="J34" s="21"/>
      <c r="K34" s="21"/>
      <c r="L34" s="13"/>
      <c r="M34" s="19"/>
      <c r="P34" s="91"/>
    </row>
    <row r="35" spans="3:16" s="14" customFormat="1" ht="12.75" x14ac:dyDescent="0.2">
      <c r="C35" s="12"/>
      <c r="D35" s="15" t="s">
        <v>55</v>
      </c>
      <c r="E35" s="42" t="s">
        <v>56</v>
      </c>
      <c r="F35" s="17" t="s">
        <v>57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58</v>
      </c>
      <c r="E36" s="20" t="s">
        <v>59</v>
      </c>
      <c r="F36" s="17" t="s">
        <v>60</v>
      </c>
      <c r="G36" s="18">
        <f t="shared" si="0"/>
        <v>2604.7519999999995</v>
      </c>
      <c r="H36" s="21">
        <v>0</v>
      </c>
      <c r="I36" s="21">
        <f>4767.842-I41</f>
        <v>735.43599999999969</v>
      </c>
      <c r="J36" s="21">
        <v>1233.422</v>
      </c>
      <c r="K36" s="21">
        <v>635.89400000000001</v>
      </c>
      <c r="L36" s="13"/>
      <c r="M36" s="19"/>
      <c r="P36" s="91"/>
    </row>
    <row r="37" spans="3:16" s="14" customFormat="1" ht="12.75" x14ac:dyDescent="0.2">
      <c r="C37" s="12"/>
      <c r="D37" s="15" t="s">
        <v>61</v>
      </c>
      <c r="E37" s="42" t="s">
        <v>62</v>
      </c>
      <c r="F37" s="17" t="s">
        <v>63</v>
      </c>
      <c r="G37" s="18">
        <f t="shared" si="0"/>
        <v>0</v>
      </c>
      <c r="H37" s="21"/>
      <c r="I37" s="21"/>
      <c r="J37" s="21"/>
      <c r="K37" s="21"/>
      <c r="L37" s="13"/>
      <c r="M37" s="19"/>
      <c r="P37" s="91"/>
    </row>
    <row r="38" spans="3:16" s="14" customFormat="1" ht="12.75" x14ac:dyDescent="0.2">
      <c r="C38" s="12"/>
      <c r="D38" s="15" t="s">
        <v>64</v>
      </c>
      <c r="E38" s="43" t="s">
        <v>56</v>
      </c>
      <c r="F38" s="17" t="s">
        <v>65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66</v>
      </c>
      <c r="E39" s="20" t="s">
        <v>67</v>
      </c>
      <c r="F39" s="17" t="s">
        <v>68</v>
      </c>
      <c r="G39" s="18">
        <f t="shared" si="0"/>
        <v>4032.4059999999999</v>
      </c>
      <c r="H39" s="18">
        <f>SUM(H40:H42)</f>
        <v>0</v>
      </c>
      <c r="I39" s="18">
        <f>SUM(I40:I42)</f>
        <v>4032.4059999999999</v>
      </c>
      <c r="J39" s="18">
        <f>SUM(J40:J42)</f>
        <v>0</v>
      </c>
      <c r="K39" s="18">
        <f>SUM(K40:K42)</f>
        <v>0</v>
      </c>
      <c r="L39" s="13"/>
      <c r="M39" s="19"/>
      <c r="P39" s="91"/>
    </row>
    <row r="40" spans="3:16" s="14" customFormat="1" ht="12.75" x14ac:dyDescent="0.2">
      <c r="C40" s="12"/>
      <c r="D40" s="22" t="s">
        <v>69</v>
      </c>
      <c r="E40" s="23"/>
      <c r="F40" s="24" t="s">
        <v>68</v>
      </c>
      <c r="G40" s="25"/>
      <c r="H40" s="25"/>
      <c r="I40" s="25"/>
      <c r="J40" s="25"/>
      <c r="K40" s="25"/>
      <c r="L40" s="13"/>
      <c r="M40" s="19"/>
      <c r="P40" s="91"/>
    </row>
    <row r="41" spans="3:16" s="14" customFormat="1" ht="15" x14ac:dyDescent="0.25">
      <c r="C41" s="30" t="s">
        <v>29</v>
      </c>
      <c r="D41" s="31" t="s">
        <v>70</v>
      </c>
      <c r="E41" s="32" t="s">
        <v>71</v>
      </c>
      <c r="F41" s="33">
        <v>751</v>
      </c>
      <c r="G41" s="34">
        <f>SUM(H41:K41)</f>
        <v>4032.4059999999999</v>
      </c>
      <c r="H41" s="35"/>
      <c r="I41" s="35">
        <v>4032.4059999999999</v>
      </c>
      <c r="J41" s="35"/>
      <c r="K41" s="36"/>
      <c r="L41" s="13"/>
      <c r="M41" s="37" t="s">
        <v>72</v>
      </c>
      <c r="N41" s="38" t="s">
        <v>73</v>
      </c>
      <c r="O41" s="38" t="s">
        <v>337</v>
      </c>
    </row>
    <row r="42" spans="3:16" s="14" customFormat="1" ht="12.75" x14ac:dyDescent="0.2">
      <c r="C42" s="12"/>
      <c r="D42" s="44"/>
      <c r="E42" s="27" t="s">
        <v>20</v>
      </c>
      <c r="F42" s="28"/>
      <c r="G42" s="28"/>
      <c r="H42" s="28"/>
      <c r="I42" s="28"/>
      <c r="J42" s="28"/>
      <c r="K42" s="29"/>
      <c r="L42" s="13"/>
      <c r="M42" s="19"/>
      <c r="P42" s="91"/>
    </row>
    <row r="43" spans="3:16" s="14" customFormat="1" ht="12.75" x14ac:dyDescent="0.2">
      <c r="C43" s="12"/>
      <c r="D43" s="15" t="s">
        <v>74</v>
      </c>
      <c r="E43" s="45" t="s">
        <v>75</v>
      </c>
      <c r="F43" s="17" t="s">
        <v>76</v>
      </c>
      <c r="G43" s="18">
        <f t="shared" si="0"/>
        <v>0</v>
      </c>
      <c r="H43" s="21"/>
      <c r="I43" s="21"/>
      <c r="J43" s="21"/>
      <c r="K43" s="21"/>
      <c r="L43" s="13"/>
      <c r="M43" s="19"/>
      <c r="P43" s="91">
        <v>120</v>
      </c>
    </row>
    <row r="44" spans="3:16" s="14" customFormat="1" ht="12.75" x14ac:dyDescent="0.2">
      <c r="C44" s="12"/>
      <c r="D44" s="15" t="s">
        <v>77</v>
      </c>
      <c r="E44" s="16" t="s">
        <v>78</v>
      </c>
      <c r="F44" s="17" t="s">
        <v>79</v>
      </c>
      <c r="G44" s="18">
        <f t="shared" si="0"/>
        <v>2331.4580000000001</v>
      </c>
      <c r="H44" s="21">
        <f>H25-H47</f>
        <v>798.38800000000003</v>
      </c>
      <c r="I44" s="21">
        <f>I15-I33-I47</f>
        <v>875.46400000000006</v>
      </c>
      <c r="J44" s="21">
        <f>J23+J27+J17-J33-J47</f>
        <v>657.60600000000011</v>
      </c>
      <c r="K44" s="21">
        <f>K30-K33-K47</f>
        <v>0</v>
      </c>
      <c r="L44" s="13"/>
      <c r="M44" s="19"/>
      <c r="P44" s="91">
        <v>150</v>
      </c>
    </row>
    <row r="45" spans="3:16" s="14" customFormat="1" ht="12.75" x14ac:dyDescent="0.2">
      <c r="C45" s="12"/>
      <c r="D45" s="15" t="s">
        <v>80</v>
      </c>
      <c r="E45" s="16" t="s">
        <v>81</v>
      </c>
      <c r="F45" s="17" t="s">
        <v>82</v>
      </c>
      <c r="G45" s="18">
        <f t="shared" si="0"/>
        <v>0</v>
      </c>
      <c r="H45" s="21"/>
      <c r="I45" s="21"/>
      <c r="J45" s="21"/>
      <c r="K45" s="21"/>
      <c r="L45" s="13"/>
      <c r="M45" s="19"/>
      <c r="P45" s="91">
        <v>160</v>
      </c>
    </row>
    <row r="46" spans="3:16" s="14" customFormat="1" ht="12.75" x14ac:dyDescent="0.2">
      <c r="C46" s="12"/>
      <c r="D46" s="15" t="s">
        <v>83</v>
      </c>
      <c r="E46" s="16" t="s">
        <v>84</v>
      </c>
      <c r="F46" s="17" t="s">
        <v>85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180</v>
      </c>
    </row>
    <row r="47" spans="3:16" s="14" customFormat="1" ht="12.75" x14ac:dyDescent="0.2">
      <c r="C47" s="12"/>
      <c r="D47" s="15" t="s">
        <v>86</v>
      </c>
      <c r="E47" s="16" t="s">
        <v>87</v>
      </c>
      <c r="F47" s="17" t="s">
        <v>88</v>
      </c>
      <c r="G47" s="18">
        <f t="shared" si="0"/>
        <v>195.7</v>
      </c>
      <c r="H47" s="21">
        <v>111.004</v>
      </c>
      <c r="I47" s="21">
        <v>18.303999999999998</v>
      </c>
      <c r="J47" s="21">
        <v>44.68</v>
      </c>
      <c r="K47" s="21">
        <v>21.712</v>
      </c>
      <c r="L47" s="13"/>
      <c r="M47" s="19"/>
      <c r="P47" s="91">
        <v>190</v>
      </c>
    </row>
    <row r="48" spans="3:16" s="14" customFormat="1" ht="12.75" x14ac:dyDescent="0.2">
      <c r="C48" s="12"/>
      <c r="D48" s="15" t="s">
        <v>89</v>
      </c>
      <c r="E48" s="20" t="s">
        <v>90</v>
      </c>
      <c r="F48" s="17" t="s">
        <v>91</v>
      </c>
      <c r="G48" s="18">
        <f t="shared" si="0"/>
        <v>0</v>
      </c>
      <c r="H48" s="21"/>
      <c r="I48" s="21"/>
      <c r="J48" s="21"/>
      <c r="K48" s="21"/>
      <c r="L48" s="13"/>
      <c r="M48" s="19"/>
      <c r="P48" s="91">
        <v>200</v>
      </c>
    </row>
    <row r="49" spans="3:16" s="14" customFormat="1" ht="22.5" x14ac:dyDescent="0.2">
      <c r="C49" s="12"/>
      <c r="D49" s="15" t="s">
        <v>92</v>
      </c>
      <c r="E49" s="16" t="s">
        <v>93</v>
      </c>
      <c r="F49" s="17" t="s">
        <v>94</v>
      </c>
      <c r="G49" s="18">
        <f t="shared" si="0"/>
        <v>181.94</v>
      </c>
      <c r="H49" s="21"/>
      <c r="I49" s="21">
        <f>181.94*0.2468</f>
        <v>44.902791999999998</v>
      </c>
      <c r="J49" s="21">
        <f>181.94*0.3293</f>
        <v>59.912841999999998</v>
      </c>
      <c r="K49" s="21">
        <f>181.94*0.4239</f>
        <v>77.124365999999995</v>
      </c>
      <c r="L49" s="13"/>
      <c r="M49" s="19"/>
      <c r="P49" s="92"/>
    </row>
    <row r="50" spans="3:16" s="14" customFormat="1" ht="33.75" x14ac:dyDescent="0.2">
      <c r="C50" s="12"/>
      <c r="D50" s="15" t="s">
        <v>95</v>
      </c>
      <c r="E50" s="40" t="s">
        <v>96</v>
      </c>
      <c r="F50" s="17" t="s">
        <v>97</v>
      </c>
      <c r="G50" s="18">
        <f t="shared" si="0"/>
        <v>13.760000000000019</v>
      </c>
      <c r="H50" s="18">
        <f>H47-H49</f>
        <v>111.004</v>
      </c>
      <c r="I50" s="18">
        <f>I47-I49</f>
        <v>-26.598792</v>
      </c>
      <c r="J50" s="18">
        <f>J47-J49</f>
        <v>-15.232841999999998</v>
      </c>
      <c r="K50" s="18">
        <f>K47-K49</f>
        <v>-55.412365999999992</v>
      </c>
      <c r="L50" s="13"/>
      <c r="M50" s="19"/>
      <c r="P50" s="92"/>
    </row>
    <row r="51" spans="3:16" s="14" customFormat="1" ht="12.75" x14ac:dyDescent="0.2">
      <c r="C51" s="12"/>
      <c r="D51" s="15" t="s">
        <v>98</v>
      </c>
      <c r="E51" s="16" t="s">
        <v>99</v>
      </c>
      <c r="F51" s="17" t="s">
        <v>100</v>
      </c>
      <c r="G51" s="18">
        <f t="shared" si="0"/>
        <v>0</v>
      </c>
      <c r="H51" s="18">
        <f>(H15+H27+H32)-(H33+H44+H45+H46+H47)</f>
        <v>0</v>
      </c>
      <c r="I51" s="18">
        <f>(I15+I27+I32)-(I33+I44+I45+I46+I47)</f>
        <v>0</v>
      </c>
      <c r="J51" s="18">
        <f>(J15+J27+J32)-(J33+J44+J45+J46+J47)</f>
        <v>0</v>
      </c>
      <c r="K51" s="18">
        <f>(K15+K27+K32)-(K33+K44+K45+K46+K47)</f>
        <v>0</v>
      </c>
      <c r="L51" s="13"/>
      <c r="M51" s="19"/>
      <c r="P51" s="91">
        <v>210</v>
      </c>
    </row>
    <row r="52" spans="3:16" s="14" customFormat="1" ht="12.75" x14ac:dyDescent="0.2">
      <c r="C52" s="12"/>
      <c r="D52" s="111" t="s">
        <v>101</v>
      </c>
      <c r="E52" s="112"/>
      <c r="F52" s="112"/>
      <c r="G52" s="112"/>
      <c r="H52" s="112"/>
      <c r="I52" s="112"/>
      <c r="J52" s="112"/>
      <c r="K52" s="113"/>
      <c r="L52" s="13"/>
      <c r="M52" s="19"/>
      <c r="P52" s="92"/>
    </row>
    <row r="53" spans="3:16" s="14" customFormat="1" ht="12.75" x14ac:dyDescent="0.2">
      <c r="C53" s="12"/>
      <c r="D53" s="15" t="s">
        <v>102</v>
      </c>
      <c r="E53" s="16" t="s">
        <v>13</v>
      </c>
      <c r="F53" s="17" t="s">
        <v>103</v>
      </c>
      <c r="G53" s="18">
        <f t="shared" si="0"/>
        <v>9.1839489247311814</v>
      </c>
      <c r="H53" s="18">
        <f>H54+H55+H58+H61</f>
        <v>1.2223010752688173</v>
      </c>
      <c r="I53" s="18">
        <f>I54+I55+I58+I61</f>
        <v>7.6096908602150535</v>
      </c>
      <c r="J53" s="18">
        <f>J54+J55+J58+J61</f>
        <v>0.35195698924731184</v>
      </c>
      <c r="K53" s="18">
        <f>K54+K55+K58+K61</f>
        <v>0</v>
      </c>
      <c r="L53" s="13"/>
      <c r="M53" s="19"/>
      <c r="P53" s="91">
        <v>300</v>
      </c>
    </row>
    <row r="54" spans="3:16" s="14" customFormat="1" ht="12.75" x14ac:dyDescent="0.2">
      <c r="C54" s="12"/>
      <c r="D54" s="15" t="s">
        <v>104</v>
      </c>
      <c r="E54" s="20" t="s">
        <v>15</v>
      </c>
      <c r="F54" s="17" t="s">
        <v>105</v>
      </c>
      <c r="G54" s="18">
        <f t="shared" si="0"/>
        <v>0</v>
      </c>
      <c r="H54" s="21"/>
      <c r="I54" s="21"/>
      <c r="J54" s="21"/>
      <c r="K54" s="21"/>
      <c r="L54" s="13"/>
      <c r="M54" s="19"/>
      <c r="P54" s="91">
        <v>310</v>
      </c>
    </row>
    <row r="55" spans="3:16" s="14" customFormat="1" ht="12.75" x14ac:dyDescent="0.2">
      <c r="C55" s="12"/>
      <c r="D55" s="15" t="s">
        <v>106</v>
      </c>
      <c r="E55" s="20" t="s">
        <v>17</v>
      </c>
      <c r="F55" s="17" t="s">
        <v>107</v>
      </c>
      <c r="G55" s="18">
        <f t="shared" si="0"/>
        <v>0</v>
      </c>
      <c r="H55" s="18">
        <f>SUM(H56:H57)</f>
        <v>0</v>
      </c>
      <c r="I55" s="18">
        <f>SUM(I56:I57)</f>
        <v>0</v>
      </c>
      <c r="J55" s="18">
        <f>SUM(J56:J57)</f>
        <v>0</v>
      </c>
      <c r="K55" s="18">
        <f>SUM(K56:K57)</f>
        <v>0</v>
      </c>
      <c r="L55" s="13"/>
      <c r="M55" s="19"/>
      <c r="P55" s="91">
        <v>320</v>
      </c>
    </row>
    <row r="56" spans="3:16" s="14" customFormat="1" ht="12.75" x14ac:dyDescent="0.2">
      <c r="C56" s="12"/>
      <c r="D56" s="22" t="s">
        <v>108</v>
      </c>
      <c r="E56" s="23"/>
      <c r="F56" s="24" t="s">
        <v>107</v>
      </c>
      <c r="G56" s="25"/>
      <c r="H56" s="25"/>
      <c r="I56" s="25"/>
      <c r="J56" s="25"/>
      <c r="K56" s="25"/>
      <c r="L56" s="13"/>
      <c r="M56" s="19"/>
      <c r="P56" s="91"/>
    </row>
    <row r="57" spans="3:16" s="14" customFormat="1" ht="12.75" x14ac:dyDescent="0.2">
      <c r="C57" s="12"/>
      <c r="D57" s="26"/>
      <c r="E57" s="27" t="s">
        <v>20</v>
      </c>
      <c r="F57" s="28"/>
      <c r="G57" s="28"/>
      <c r="H57" s="28"/>
      <c r="I57" s="28"/>
      <c r="J57" s="28"/>
      <c r="K57" s="29"/>
      <c r="L57" s="13"/>
      <c r="M57" s="19"/>
      <c r="P57" s="91"/>
    </row>
    <row r="58" spans="3:16" s="14" customFormat="1" ht="12.75" x14ac:dyDescent="0.2">
      <c r="C58" s="12"/>
      <c r="D58" s="15" t="s">
        <v>109</v>
      </c>
      <c r="E58" s="20" t="s">
        <v>22</v>
      </c>
      <c r="F58" s="17" t="s">
        <v>110</v>
      </c>
      <c r="G58" s="18">
        <f t="shared" si="0"/>
        <v>0</v>
      </c>
      <c r="H58" s="18">
        <f>SUM(H59:H60)</f>
        <v>0</v>
      </c>
      <c r="I58" s="18">
        <f>SUM(I59:I60)</f>
        <v>0</v>
      </c>
      <c r="J58" s="18">
        <f>SUM(J59:J60)</f>
        <v>0</v>
      </c>
      <c r="K58" s="18">
        <f>SUM(K59:K60)</f>
        <v>0</v>
      </c>
      <c r="L58" s="13"/>
      <c r="M58" s="19"/>
      <c r="P58" s="91"/>
    </row>
    <row r="59" spans="3:16" s="14" customFormat="1" ht="12.75" x14ac:dyDescent="0.2">
      <c r="C59" s="12"/>
      <c r="D59" s="22" t="s">
        <v>111</v>
      </c>
      <c r="E59" s="23"/>
      <c r="F59" s="24" t="s">
        <v>110</v>
      </c>
      <c r="G59" s="25"/>
      <c r="H59" s="25"/>
      <c r="I59" s="25"/>
      <c r="J59" s="25"/>
      <c r="K59" s="25"/>
      <c r="L59" s="13"/>
      <c r="M59" s="19"/>
      <c r="P59" s="91"/>
    </row>
    <row r="60" spans="3:16" s="14" customFormat="1" ht="12.75" x14ac:dyDescent="0.2">
      <c r="C60" s="12"/>
      <c r="D60" s="26"/>
      <c r="E60" s="27" t="s">
        <v>20</v>
      </c>
      <c r="F60" s="28"/>
      <c r="G60" s="28"/>
      <c r="H60" s="28"/>
      <c r="I60" s="28"/>
      <c r="J60" s="28"/>
      <c r="K60" s="29"/>
      <c r="L60" s="13"/>
      <c r="M60" s="19"/>
      <c r="P60" s="91"/>
    </row>
    <row r="61" spans="3:16" s="14" customFormat="1" ht="12.75" x14ac:dyDescent="0.2">
      <c r="C61" s="12"/>
      <c r="D61" s="15" t="s">
        <v>112</v>
      </c>
      <c r="E61" s="20" t="s">
        <v>26</v>
      </c>
      <c r="F61" s="17" t="s">
        <v>113</v>
      </c>
      <c r="G61" s="18">
        <f t="shared" si="0"/>
        <v>9.1839489247311814</v>
      </c>
      <c r="H61" s="18">
        <f>SUM(H62:H64)</f>
        <v>1.2223010752688173</v>
      </c>
      <c r="I61" s="18">
        <f>SUM(I62:I64)</f>
        <v>7.6096908602150535</v>
      </c>
      <c r="J61" s="18">
        <f>SUM(J62:J64)</f>
        <v>0.35195698924731184</v>
      </c>
      <c r="K61" s="18">
        <f>SUM(K62:K64)</f>
        <v>0</v>
      </c>
      <c r="L61" s="13"/>
      <c r="M61" s="19"/>
      <c r="P61" s="91">
        <v>330</v>
      </c>
    </row>
    <row r="62" spans="3:16" s="14" customFormat="1" ht="12.75" x14ac:dyDescent="0.2">
      <c r="C62" s="12"/>
      <c r="D62" s="22" t="s">
        <v>114</v>
      </c>
      <c r="E62" s="23"/>
      <c r="F62" s="24" t="s">
        <v>113</v>
      </c>
      <c r="G62" s="25"/>
      <c r="H62" s="25"/>
      <c r="I62" s="25"/>
      <c r="J62" s="25"/>
      <c r="K62" s="25"/>
      <c r="L62" s="13"/>
      <c r="M62" s="19"/>
      <c r="P62" s="91"/>
    </row>
    <row r="63" spans="3:16" s="14" customFormat="1" ht="15" x14ac:dyDescent="0.25">
      <c r="C63" s="30" t="s">
        <v>29</v>
      </c>
      <c r="D63" s="31" t="s">
        <v>115</v>
      </c>
      <c r="E63" s="32" t="s">
        <v>31</v>
      </c>
      <c r="F63" s="33">
        <v>1461</v>
      </c>
      <c r="G63" s="34">
        <f>SUM(H63:K63)</f>
        <v>9.1839489247311814</v>
      </c>
      <c r="H63" s="35">
        <f>H25/744</f>
        <v>1.2223010752688173</v>
      </c>
      <c r="I63" s="35">
        <f>I25/744</f>
        <v>7.6096908602150535</v>
      </c>
      <c r="J63" s="35">
        <f>J25/744</f>
        <v>0.35195698924731184</v>
      </c>
      <c r="K63" s="35"/>
      <c r="L63" s="13"/>
      <c r="M63" s="37" t="s">
        <v>32</v>
      </c>
      <c r="N63" s="38" t="s">
        <v>33</v>
      </c>
      <c r="O63" s="38" t="s">
        <v>336</v>
      </c>
    </row>
    <row r="64" spans="3:16" s="14" customFormat="1" ht="12.75" x14ac:dyDescent="0.2">
      <c r="C64" s="12"/>
      <c r="D64" s="26"/>
      <c r="E64" s="27" t="s">
        <v>20</v>
      </c>
      <c r="F64" s="28"/>
      <c r="G64" s="28"/>
      <c r="H64" s="28"/>
      <c r="I64" s="28"/>
      <c r="J64" s="28"/>
      <c r="K64" s="29"/>
      <c r="L64" s="13"/>
      <c r="M64" s="19"/>
      <c r="P64" s="91"/>
    </row>
    <row r="65" spans="3:16" s="14" customFormat="1" ht="12.75" x14ac:dyDescent="0.2">
      <c r="C65" s="12"/>
      <c r="D65" s="15" t="s">
        <v>116</v>
      </c>
      <c r="E65" s="16" t="s">
        <v>35</v>
      </c>
      <c r="F65" s="17" t="s">
        <v>117</v>
      </c>
      <c r="G65" s="18">
        <f t="shared" si="0"/>
        <v>3.1336801075268816</v>
      </c>
      <c r="H65" s="18">
        <f>H67+H68+H69</f>
        <v>0</v>
      </c>
      <c r="I65" s="18">
        <f>I66+I68+I69</f>
        <v>0</v>
      </c>
      <c r="J65" s="18">
        <f>J66+J67+J69</f>
        <v>2.2498010752688171</v>
      </c>
      <c r="K65" s="18">
        <f>K66+K67+K68</f>
        <v>0.88387903225806452</v>
      </c>
      <c r="L65" s="13"/>
      <c r="M65" s="19"/>
      <c r="P65" s="91">
        <v>340</v>
      </c>
    </row>
    <row r="66" spans="3:16" s="14" customFormat="1" ht="12.75" x14ac:dyDescent="0.2">
      <c r="C66" s="12"/>
      <c r="D66" s="15" t="s">
        <v>118</v>
      </c>
      <c r="E66" s="20" t="s">
        <v>7</v>
      </c>
      <c r="F66" s="17" t="s">
        <v>119</v>
      </c>
      <c r="G66" s="18">
        <f t="shared" si="0"/>
        <v>1.0731021505376344</v>
      </c>
      <c r="H66" s="39"/>
      <c r="I66" s="21"/>
      <c r="J66" s="21">
        <f>J28/744</f>
        <v>1.0731021505376344</v>
      </c>
      <c r="K66" s="21"/>
      <c r="L66" s="13"/>
      <c r="M66" s="19"/>
      <c r="P66" s="91">
        <v>350</v>
      </c>
    </row>
    <row r="67" spans="3:16" s="14" customFormat="1" ht="12.75" x14ac:dyDescent="0.2">
      <c r="C67" s="12"/>
      <c r="D67" s="15" t="s">
        <v>120</v>
      </c>
      <c r="E67" s="20" t="s">
        <v>8</v>
      </c>
      <c r="F67" s="17" t="s">
        <v>121</v>
      </c>
      <c r="G67" s="18">
        <f t="shared" si="0"/>
        <v>1.1766989247311828</v>
      </c>
      <c r="H67" s="21"/>
      <c r="I67" s="46"/>
      <c r="J67" s="21">
        <f>J29/744</f>
        <v>1.1766989247311828</v>
      </c>
      <c r="K67" s="21"/>
      <c r="L67" s="13"/>
      <c r="M67" s="19"/>
      <c r="P67" s="91">
        <v>360</v>
      </c>
    </row>
    <row r="68" spans="3:16" s="14" customFormat="1" ht="12.75" x14ac:dyDescent="0.2">
      <c r="C68" s="12"/>
      <c r="D68" s="15" t="s">
        <v>122</v>
      </c>
      <c r="E68" s="20" t="s">
        <v>9</v>
      </c>
      <c r="F68" s="17" t="s">
        <v>123</v>
      </c>
      <c r="G68" s="18">
        <f t="shared" si="0"/>
        <v>0.88387903225806452</v>
      </c>
      <c r="H68" s="21"/>
      <c r="I68" s="21"/>
      <c r="J68" s="39"/>
      <c r="K68" s="21">
        <f>K30/744</f>
        <v>0.88387903225806452</v>
      </c>
      <c r="L68" s="13"/>
      <c r="M68" s="19"/>
      <c r="P68" s="91">
        <v>370</v>
      </c>
    </row>
    <row r="69" spans="3:16" s="14" customFormat="1" ht="12.75" x14ac:dyDescent="0.2">
      <c r="C69" s="12"/>
      <c r="D69" s="15" t="s">
        <v>124</v>
      </c>
      <c r="E69" s="20" t="s">
        <v>44</v>
      </c>
      <c r="F69" s="17" t="s">
        <v>125</v>
      </c>
      <c r="G69" s="18">
        <f t="shared" si="0"/>
        <v>0</v>
      </c>
      <c r="H69" s="21"/>
      <c r="I69" s="21"/>
      <c r="J69" s="21"/>
      <c r="K69" s="39"/>
      <c r="L69" s="13"/>
      <c r="M69" s="19"/>
      <c r="P69" s="91">
        <v>380</v>
      </c>
    </row>
    <row r="70" spans="3:16" s="14" customFormat="1" ht="12.75" x14ac:dyDescent="0.2">
      <c r="C70" s="12"/>
      <c r="D70" s="15" t="s">
        <v>126</v>
      </c>
      <c r="E70" s="40" t="s">
        <v>47</v>
      </c>
      <c r="F70" s="17" t="s">
        <v>127</v>
      </c>
      <c r="G70" s="18">
        <f t="shared" si="0"/>
        <v>0</v>
      </c>
      <c r="H70" s="21"/>
      <c r="I70" s="21"/>
      <c r="J70" s="21"/>
      <c r="K70" s="21"/>
      <c r="L70" s="13"/>
      <c r="M70" s="19"/>
      <c r="P70" s="91"/>
    </row>
    <row r="71" spans="3:16" s="14" customFormat="1" ht="12.75" x14ac:dyDescent="0.2">
      <c r="C71" s="12"/>
      <c r="D71" s="15" t="s">
        <v>128</v>
      </c>
      <c r="E71" s="16" t="s">
        <v>50</v>
      </c>
      <c r="F71" s="41" t="s">
        <v>129</v>
      </c>
      <c r="G71" s="18">
        <f t="shared" si="0"/>
        <v>8.9209112903225787</v>
      </c>
      <c r="H71" s="18">
        <f>H72+H74+H77+H81</f>
        <v>0</v>
      </c>
      <c r="I71" s="18">
        <f>I72+I74+I77+I81</f>
        <v>6.4083897849462357</v>
      </c>
      <c r="J71" s="18">
        <f>J72+J74+J77+J81</f>
        <v>1.6578252688172044</v>
      </c>
      <c r="K71" s="18">
        <f>K72+K74+K77+K81</f>
        <v>0.85469623655913984</v>
      </c>
      <c r="L71" s="13"/>
      <c r="M71" s="19"/>
      <c r="P71" s="91">
        <v>390</v>
      </c>
    </row>
    <row r="72" spans="3:16" s="14" customFormat="1" ht="22.5" x14ac:dyDescent="0.2">
      <c r="C72" s="12"/>
      <c r="D72" s="15" t="s">
        <v>130</v>
      </c>
      <c r="E72" s="20" t="s">
        <v>53</v>
      </c>
      <c r="F72" s="17" t="s">
        <v>131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132</v>
      </c>
      <c r="E73" s="42" t="s">
        <v>56</v>
      </c>
      <c r="F73" s="17" t="s">
        <v>133</v>
      </c>
      <c r="G73" s="18">
        <f t="shared" si="0"/>
        <v>0</v>
      </c>
      <c r="H73" s="21"/>
      <c r="I73" s="21"/>
      <c r="J73" s="21"/>
      <c r="K73" s="21"/>
      <c r="L73" s="13"/>
      <c r="M73" s="19"/>
      <c r="P73" s="91"/>
    </row>
    <row r="74" spans="3:16" s="14" customFormat="1" ht="12.75" x14ac:dyDescent="0.2">
      <c r="C74" s="12"/>
      <c r="D74" s="15" t="s">
        <v>134</v>
      </c>
      <c r="E74" s="20" t="s">
        <v>59</v>
      </c>
      <c r="F74" s="17" t="s">
        <v>135</v>
      </c>
      <c r="G74" s="18">
        <f t="shared" si="0"/>
        <v>3.5010107526881717</v>
      </c>
      <c r="H74" s="21"/>
      <c r="I74" s="21">
        <f>I36/744</f>
        <v>0.98848924731182752</v>
      </c>
      <c r="J74" s="21">
        <f>J36/744</f>
        <v>1.6578252688172044</v>
      </c>
      <c r="K74" s="21">
        <f>K36/744</f>
        <v>0.85469623655913984</v>
      </c>
      <c r="L74" s="13"/>
      <c r="M74" s="19"/>
      <c r="P74" s="91"/>
    </row>
    <row r="75" spans="3:16" s="14" customFormat="1" ht="12.75" x14ac:dyDescent="0.2">
      <c r="C75" s="12"/>
      <c r="D75" s="15" t="s">
        <v>136</v>
      </c>
      <c r="E75" s="42" t="s">
        <v>62</v>
      </c>
      <c r="F75" s="17" t="s">
        <v>137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138</v>
      </c>
      <c r="E76" s="43" t="s">
        <v>56</v>
      </c>
      <c r="F76" s="17" t="s">
        <v>139</v>
      </c>
      <c r="G76" s="18">
        <f t="shared" si="0"/>
        <v>0</v>
      </c>
      <c r="H76" s="21"/>
      <c r="I76" s="21"/>
      <c r="J76" s="21"/>
      <c r="K76" s="21"/>
      <c r="L76" s="13"/>
      <c r="M76" s="19"/>
      <c r="P76" s="91"/>
    </row>
    <row r="77" spans="3:16" s="14" customFormat="1" ht="12.75" x14ac:dyDescent="0.2">
      <c r="C77" s="12"/>
      <c r="D77" s="15" t="s">
        <v>140</v>
      </c>
      <c r="E77" s="20" t="s">
        <v>67</v>
      </c>
      <c r="F77" s="17" t="s">
        <v>141</v>
      </c>
      <c r="G77" s="18">
        <f t="shared" si="0"/>
        <v>5.4199005376344083</v>
      </c>
      <c r="H77" s="18">
        <f>SUM(H78:H80)</f>
        <v>0</v>
      </c>
      <c r="I77" s="18">
        <f>SUM(I78:I80)</f>
        <v>5.4199005376344083</v>
      </c>
      <c r="J77" s="18">
        <f>SUM(J78:J80)</f>
        <v>0</v>
      </c>
      <c r="K77" s="18">
        <f>SUM(K78:K80)</f>
        <v>0</v>
      </c>
      <c r="L77" s="13"/>
      <c r="M77" s="19"/>
      <c r="P77" s="91"/>
    </row>
    <row r="78" spans="3:16" s="14" customFormat="1" ht="12.75" x14ac:dyDescent="0.2">
      <c r="C78" s="12"/>
      <c r="D78" s="22" t="s">
        <v>142</v>
      </c>
      <c r="E78" s="23"/>
      <c r="F78" s="24" t="s">
        <v>141</v>
      </c>
      <c r="G78" s="25"/>
      <c r="H78" s="25"/>
      <c r="I78" s="25"/>
      <c r="J78" s="25"/>
      <c r="K78" s="25"/>
      <c r="L78" s="13"/>
      <c r="M78" s="19"/>
      <c r="P78" s="91"/>
    </row>
    <row r="79" spans="3:16" s="14" customFormat="1" ht="15" x14ac:dyDescent="0.25">
      <c r="C79" s="30" t="s">
        <v>29</v>
      </c>
      <c r="D79" s="31" t="s">
        <v>143</v>
      </c>
      <c r="E79" s="32" t="s">
        <v>71</v>
      </c>
      <c r="F79" s="33">
        <v>1781</v>
      </c>
      <c r="G79" s="34">
        <f>SUM(H79:K79)</f>
        <v>5.4199005376344083</v>
      </c>
      <c r="H79" s="35"/>
      <c r="I79" s="35">
        <f>I41/744</f>
        <v>5.4199005376344083</v>
      </c>
      <c r="J79" s="35"/>
      <c r="K79" s="36"/>
      <c r="L79" s="13"/>
      <c r="M79" s="37" t="s">
        <v>72</v>
      </c>
      <c r="N79" s="38" t="s">
        <v>73</v>
      </c>
      <c r="O79" s="38" t="s">
        <v>337</v>
      </c>
    </row>
    <row r="80" spans="3:16" s="14" customFormat="1" ht="12.75" x14ac:dyDescent="0.2">
      <c r="C80" s="12"/>
      <c r="D80" s="26"/>
      <c r="E80" s="27" t="s">
        <v>20</v>
      </c>
      <c r="F80" s="28"/>
      <c r="G80" s="28"/>
      <c r="H80" s="28"/>
      <c r="I80" s="28"/>
      <c r="J80" s="28"/>
      <c r="K80" s="29"/>
      <c r="L80" s="13"/>
      <c r="M80" s="19"/>
      <c r="P80" s="91"/>
    </row>
    <row r="81" spans="3:16" s="14" customFormat="1" ht="12.75" x14ac:dyDescent="0.2">
      <c r="C81" s="12"/>
      <c r="D81" s="15" t="s">
        <v>144</v>
      </c>
      <c r="E81" s="45" t="s">
        <v>75</v>
      </c>
      <c r="F81" s="17" t="s">
        <v>145</v>
      </c>
      <c r="G81" s="18">
        <f t="shared" si="0"/>
        <v>0</v>
      </c>
      <c r="H81" s="21"/>
      <c r="I81" s="21"/>
      <c r="J81" s="21"/>
      <c r="K81" s="21"/>
      <c r="L81" s="13"/>
      <c r="M81" s="19"/>
      <c r="P81" s="91">
        <v>410</v>
      </c>
    </row>
    <row r="82" spans="3:16" s="14" customFormat="1" ht="12.75" x14ac:dyDescent="0.2">
      <c r="C82" s="12"/>
      <c r="D82" s="15" t="s">
        <v>146</v>
      </c>
      <c r="E82" s="16" t="s">
        <v>78</v>
      </c>
      <c r="F82" s="17" t="s">
        <v>147</v>
      </c>
      <c r="G82" s="18">
        <f t="shared" si="0"/>
        <v>3.1336801075268816</v>
      </c>
      <c r="H82" s="21">
        <f>H44/744</f>
        <v>1.0731021505376344</v>
      </c>
      <c r="I82" s="21">
        <f>I44/744</f>
        <v>1.1766989247311828</v>
      </c>
      <c r="J82" s="21">
        <f>J44/744</f>
        <v>0.88387903225806463</v>
      </c>
      <c r="K82" s="21">
        <f>K44/744</f>
        <v>0</v>
      </c>
      <c r="L82" s="13"/>
      <c r="M82" s="19"/>
      <c r="P82" s="91">
        <v>440</v>
      </c>
    </row>
    <row r="83" spans="3:16" s="14" customFormat="1" ht="12.75" x14ac:dyDescent="0.2">
      <c r="C83" s="12"/>
      <c r="D83" s="15" t="s">
        <v>148</v>
      </c>
      <c r="E83" s="16" t="s">
        <v>81</v>
      </c>
      <c r="F83" s="17" t="s">
        <v>149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450</v>
      </c>
    </row>
    <row r="84" spans="3:16" s="14" customFormat="1" ht="12.75" x14ac:dyDescent="0.2">
      <c r="C84" s="12"/>
      <c r="D84" s="15" t="s">
        <v>150</v>
      </c>
      <c r="E84" s="16" t="s">
        <v>84</v>
      </c>
      <c r="F84" s="17" t="s">
        <v>151</v>
      </c>
      <c r="G84" s="18">
        <f t="shared" si="0"/>
        <v>0</v>
      </c>
      <c r="H84" s="21"/>
      <c r="I84" s="21"/>
      <c r="J84" s="21"/>
      <c r="K84" s="21"/>
      <c r="L84" s="13"/>
      <c r="M84" s="19"/>
      <c r="P84" s="91">
        <v>470</v>
      </c>
    </row>
    <row r="85" spans="3:16" s="14" customFormat="1" ht="12.75" x14ac:dyDescent="0.2">
      <c r="C85" s="12"/>
      <c r="D85" s="15" t="s">
        <v>152</v>
      </c>
      <c r="E85" s="16" t="s">
        <v>87</v>
      </c>
      <c r="F85" s="17" t="s">
        <v>153</v>
      </c>
      <c r="G85" s="18">
        <f t="shared" si="0"/>
        <v>0.26303763440860212</v>
      </c>
      <c r="H85" s="21">
        <f>H47/744</f>
        <v>0.14919892473118279</v>
      </c>
      <c r="I85" s="21">
        <f>I47/744</f>
        <v>2.4602150537634405E-2</v>
      </c>
      <c r="J85" s="21">
        <f>J47/744</f>
        <v>6.0053763440860213E-2</v>
      </c>
      <c r="K85" s="21">
        <f>K47/744</f>
        <v>2.9182795698924732E-2</v>
      </c>
      <c r="L85" s="13"/>
      <c r="M85" s="19"/>
      <c r="P85" s="91">
        <v>480</v>
      </c>
    </row>
    <row r="86" spans="3:16" s="14" customFormat="1" ht="12.75" x14ac:dyDescent="0.2">
      <c r="C86" s="12"/>
      <c r="D86" s="15" t="s">
        <v>154</v>
      </c>
      <c r="E86" s="20" t="s">
        <v>155</v>
      </c>
      <c r="F86" s="17" t="s">
        <v>156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490</v>
      </c>
    </row>
    <row r="87" spans="3:16" s="14" customFormat="1" ht="22.5" x14ac:dyDescent="0.2">
      <c r="C87" s="12"/>
      <c r="D87" s="15" t="s">
        <v>157</v>
      </c>
      <c r="E87" s="16" t="s">
        <v>93</v>
      </c>
      <c r="F87" s="17" t="s">
        <v>158</v>
      </c>
      <c r="G87" s="18">
        <f t="shared" si="0"/>
        <v>0.24454301075268814</v>
      </c>
      <c r="H87" s="21"/>
      <c r="I87" s="21">
        <f>I49/744</f>
        <v>6.035321505376344E-2</v>
      </c>
      <c r="J87" s="21">
        <f>J49/744</f>
        <v>8.0528013440860219E-2</v>
      </c>
      <c r="K87" s="21">
        <f>K49/744</f>
        <v>0.10366178225806451</v>
      </c>
      <c r="L87" s="13"/>
      <c r="M87" s="19"/>
      <c r="P87" s="91"/>
    </row>
    <row r="88" spans="3:16" s="14" customFormat="1" ht="33.75" x14ac:dyDescent="0.2">
      <c r="C88" s="12"/>
      <c r="D88" s="15" t="s">
        <v>159</v>
      </c>
      <c r="E88" s="40" t="s">
        <v>96</v>
      </c>
      <c r="F88" s="17" t="s">
        <v>160</v>
      </c>
      <c r="G88" s="18">
        <f t="shared" si="0"/>
        <v>1.8494623655913991E-2</v>
      </c>
      <c r="H88" s="18">
        <f>H85-H87</f>
        <v>0.14919892473118279</v>
      </c>
      <c r="I88" s="18">
        <f>I85-I87</f>
        <v>-3.5751064516129034E-2</v>
      </c>
      <c r="J88" s="18">
        <f>J85-J87</f>
        <v>-2.0474250000000006E-2</v>
      </c>
      <c r="K88" s="18">
        <f>K85-K87</f>
        <v>-7.4478986559139773E-2</v>
      </c>
      <c r="L88" s="13"/>
      <c r="M88" s="19"/>
      <c r="P88" s="91"/>
    </row>
    <row r="89" spans="3:16" s="14" customFormat="1" ht="12.75" x14ac:dyDescent="0.2">
      <c r="C89" s="12"/>
      <c r="D89" s="15" t="s">
        <v>161</v>
      </c>
      <c r="E89" s="16" t="s">
        <v>99</v>
      </c>
      <c r="F89" s="17" t="s">
        <v>162</v>
      </c>
      <c r="G89" s="18">
        <f t="shared" si="0"/>
        <v>0</v>
      </c>
      <c r="H89" s="18">
        <f>(H53+H65+H70)-(H71+H82+H83+H84+H85)</f>
        <v>0</v>
      </c>
      <c r="I89" s="18">
        <f>(I53+I65+I70)-(I71+I82+I83+I84+I85)</f>
        <v>0</v>
      </c>
      <c r="J89" s="18">
        <f>(J53+J65+J70)-(J71+J82+J83+J84+J85)</f>
        <v>0</v>
      </c>
      <c r="K89" s="18">
        <f>(K53+K65+K70)-(K71+K82+K83+K84+K85)</f>
        <v>0</v>
      </c>
      <c r="L89" s="13"/>
      <c r="M89" s="19"/>
      <c r="P89" s="91">
        <v>500</v>
      </c>
    </row>
    <row r="90" spans="3:16" s="14" customFormat="1" ht="12.75" x14ac:dyDescent="0.2">
      <c r="C90" s="12"/>
      <c r="D90" s="111" t="s">
        <v>163</v>
      </c>
      <c r="E90" s="112"/>
      <c r="F90" s="112"/>
      <c r="G90" s="112"/>
      <c r="H90" s="112"/>
      <c r="I90" s="112"/>
      <c r="J90" s="112"/>
      <c r="K90" s="113"/>
      <c r="L90" s="13"/>
      <c r="M90" s="19"/>
      <c r="P90" s="92"/>
    </row>
    <row r="91" spans="3:16" s="14" customFormat="1" ht="12.75" x14ac:dyDescent="0.2">
      <c r="C91" s="12"/>
      <c r="D91" s="15" t="s">
        <v>164</v>
      </c>
      <c r="E91" s="16" t="s">
        <v>165</v>
      </c>
      <c r="F91" s="17" t="s">
        <v>166</v>
      </c>
      <c r="G91" s="18">
        <f t="shared" si="0"/>
        <v>0</v>
      </c>
      <c r="H91" s="21"/>
      <c r="I91" s="21"/>
      <c r="J91" s="21"/>
      <c r="K91" s="21"/>
      <c r="L91" s="13"/>
      <c r="M91" s="19"/>
      <c r="P91" s="91">
        <v>600</v>
      </c>
    </row>
    <row r="92" spans="3:16" s="14" customFormat="1" ht="12.75" x14ac:dyDescent="0.2">
      <c r="C92" s="12"/>
      <c r="D92" s="15" t="s">
        <v>167</v>
      </c>
      <c r="E92" s="16" t="s">
        <v>168</v>
      </c>
      <c r="F92" s="17" t="s">
        <v>169</v>
      </c>
      <c r="G92" s="18">
        <f t="shared" si="0"/>
        <v>25.006</v>
      </c>
      <c r="H92" s="21"/>
      <c r="I92" s="21">
        <v>25.006</v>
      </c>
      <c r="J92" s="21"/>
      <c r="K92" s="21"/>
      <c r="L92" s="13"/>
      <c r="M92" s="19"/>
      <c r="P92" s="91">
        <v>610</v>
      </c>
    </row>
    <row r="93" spans="3:16" s="14" customFormat="1" ht="12.75" x14ac:dyDescent="0.2">
      <c r="C93" s="12"/>
      <c r="D93" s="15" t="s">
        <v>170</v>
      </c>
      <c r="E93" s="16" t="s">
        <v>171</v>
      </c>
      <c r="F93" s="17" t="s">
        <v>172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620</v>
      </c>
    </row>
    <row r="94" spans="3:16" s="14" customFormat="1" ht="12.75" x14ac:dyDescent="0.2">
      <c r="C94" s="12"/>
      <c r="D94" s="111" t="s">
        <v>173</v>
      </c>
      <c r="E94" s="112"/>
      <c r="F94" s="112"/>
      <c r="G94" s="112"/>
      <c r="H94" s="112"/>
      <c r="I94" s="112"/>
      <c r="J94" s="112"/>
      <c r="K94" s="113"/>
      <c r="L94" s="13"/>
      <c r="M94" s="19"/>
      <c r="P94" s="92"/>
    </row>
    <row r="95" spans="3:16" s="14" customFormat="1" ht="12.75" x14ac:dyDescent="0.2">
      <c r="C95" s="12"/>
      <c r="D95" s="15" t="s">
        <v>174</v>
      </c>
      <c r="E95" s="16" t="s">
        <v>175</v>
      </c>
      <c r="F95" s="17" t="s">
        <v>176</v>
      </c>
      <c r="G95" s="18">
        <f t="shared" si="0"/>
        <v>0</v>
      </c>
      <c r="H95" s="18">
        <f>SUM(H96:H97)</f>
        <v>0</v>
      </c>
      <c r="I95" s="18">
        <f>SUM(I96:I97)</f>
        <v>0</v>
      </c>
      <c r="J95" s="18">
        <f>SUM(J96:J97)</f>
        <v>0</v>
      </c>
      <c r="K95" s="18">
        <f>SUM(K96:K97)</f>
        <v>0</v>
      </c>
      <c r="L95" s="13"/>
      <c r="M95" s="19"/>
      <c r="P95" s="91">
        <v>700</v>
      </c>
    </row>
    <row r="96" spans="3:16" ht="12.75" x14ac:dyDescent="0.2">
      <c r="C96" s="2"/>
      <c r="D96" s="47" t="s">
        <v>177</v>
      </c>
      <c r="E96" s="20" t="s">
        <v>178</v>
      </c>
      <c r="F96" s="17" t="s">
        <v>179</v>
      </c>
      <c r="G96" s="18">
        <f t="shared" si="0"/>
        <v>0</v>
      </c>
      <c r="H96" s="48"/>
      <c r="I96" s="48"/>
      <c r="J96" s="48"/>
      <c r="K96" s="48"/>
      <c r="L96" s="8"/>
      <c r="M96" s="19"/>
      <c r="P96" s="91">
        <v>710</v>
      </c>
    </row>
    <row r="97" spans="3:16" ht="12.75" x14ac:dyDescent="0.2">
      <c r="C97" s="2"/>
      <c r="D97" s="47" t="s">
        <v>180</v>
      </c>
      <c r="E97" s="20" t="s">
        <v>181</v>
      </c>
      <c r="F97" s="17" t="s">
        <v>182</v>
      </c>
      <c r="G97" s="18">
        <f t="shared" si="0"/>
        <v>0</v>
      </c>
      <c r="H97" s="49">
        <f>H100</f>
        <v>0</v>
      </c>
      <c r="I97" s="49">
        <f>I100</f>
        <v>0</v>
      </c>
      <c r="J97" s="49">
        <f>J100</f>
        <v>0</v>
      </c>
      <c r="K97" s="49">
        <f>K100</f>
        <v>0</v>
      </c>
      <c r="L97" s="8"/>
      <c r="M97" s="19"/>
      <c r="P97" s="91">
        <v>720</v>
      </c>
    </row>
    <row r="98" spans="3:16" ht="12.75" x14ac:dyDescent="0.2">
      <c r="C98" s="2"/>
      <c r="D98" s="47" t="s">
        <v>183</v>
      </c>
      <c r="E98" s="42" t="s">
        <v>184</v>
      </c>
      <c r="F98" s="17" t="s">
        <v>185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730</v>
      </c>
    </row>
    <row r="99" spans="3:16" ht="12.75" x14ac:dyDescent="0.2">
      <c r="C99" s="2"/>
      <c r="D99" s="47" t="s">
        <v>186</v>
      </c>
      <c r="E99" s="43" t="s">
        <v>187</v>
      </c>
      <c r="F99" s="17" t="s">
        <v>188</v>
      </c>
      <c r="G99" s="18">
        <f t="shared" si="0"/>
        <v>0</v>
      </c>
      <c r="H99" s="48"/>
      <c r="I99" s="48"/>
      <c r="J99" s="48"/>
      <c r="K99" s="48"/>
      <c r="L99" s="8"/>
      <c r="M99" s="19"/>
      <c r="P99" s="91"/>
    </row>
    <row r="100" spans="3:16" ht="12.75" x14ac:dyDescent="0.2">
      <c r="C100" s="2"/>
      <c r="D100" s="47" t="s">
        <v>189</v>
      </c>
      <c r="E100" s="42" t="s">
        <v>190</v>
      </c>
      <c r="F100" s="17" t="s">
        <v>191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740</v>
      </c>
    </row>
    <row r="101" spans="3:16" ht="12.75" x14ac:dyDescent="0.2">
      <c r="C101" s="2"/>
      <c r="D101" s="47" t="s">
        <v>192</v>
      </c>
      <c r="E101" s="16" t="s">
        <v>193</v>
      </c>
      <c r="F101" s="17" t="s">
        <v>194</v>
      </c>
      <c r="G101" s="18">
        <f t="shared" si="0"/>
        <v>0</v>
      </c>
      <c r="H101" s="49">
        <f>H102+H118</f>
        <v>0</v>
      </c>
      <c r="I101" s="49">
        <f>I102+I118</f>
        <v>0</v>
      </c>
      <c r="J101" s="49">
        <f>J102+J118</f>
        <v>0</v>
      </c>
      <c r="K101" s="49">
        <f>K102+K118</f>
        <v>0</v>
      </c>
      <c r="L101" s="8"/>
      <c r="M101" s="19"/>
      <c r="P101" s="91">
        <v>750</v>
      </c>
    </row>
    <row r="102" spans="3:16" ht="12.75" x14ac:dyDescent="0.2">
      <c r="C102" s="2"/>
      <c r="D102" s="47" t="s">
        <v>195</v>
      </c>
      <c r="E102" s="20" t="s">
        <v>196</v>
      </c>
      <c r="F102" s="17" t="s">
        <v>197</v>
      </c>
      <c r="G102" s="18">
        <f t="shared" si="0"/>
        <v>0</v>
      </c>
      <c r="H102" s="49">
        <f>H103+H104</f>
        <v>0</v>
      </c>
      <c r="I102" s="49">
        <f>I103+I104</f>
        <v>0</v>
      </c>
      <c r="J102" s="49">
        <f>J103+J104</f>
        <v>0</v>
      </c>
      <c r="K102" s="49">
        <f>K103+K104</f>
        <v>0</v>
      </c>
      <c r="L102" s="8"/>
      <c r="M102" s="19"/>
      <c r="P102" s="91">
        <v>760</v>
      </c>
    </row>
    <row r="103" spans="3:16" ht="12.75" x14ac:dyDescent="0.2">
      <c r="C103" s="2"/>
      <c r="D103" s="47" t="s">
        <v>198</v>
      </c>
      <c r="E103" s="42" t="s">
        <v>199</v>
      </c>
      <c r="F103" s="17" t="s">
        <v>200</v>
      </c>
      <c r="G103" s="18">
        <f t="shared" si="0"/>
        <v>0</v>
      </c>
      <c r="H103" s="48"/>
      <c r="I103" s="48"/>
      <c r="J103" s="48"/>
      <c r="K103" s="48"/>
      <c r="L103" s="8"/>
      <c r="M103" s="19"/>
      <c r="P103" s="91"/>
    </row>
    <row r="104" spans="3:16" ht="12.75" x14ac:dyDescent="0.2">
      <c r="C104" s="2"/>
      <c r="D104" s="47" t="s">
        <v>201</v>
      </c>
      <c r="E104" s="42" t="s">
        <v>202</v>
      </c>
      <c r="F104" s="17" t="s">
        <v>203</v>
      </c>
      <c r="G104" s="18">
        <f t="shared" si="0"/>
        <v>0</v>
      </c>
      <c r="H104" s="49">
        <f>H105+H108+H111+H114+H115+H116+H117</f>
        <v>0</v>
      </c>
      <c r="I104" s="49">
        <f>I105+I108+I111+I114+I115+I116+I117</f>
        <v>0</v>
      </c>
      <c r="J104" s="49">
        <f>J105+J108+J111+J114+J115+J116+J117</f>
        <v>0</v>
      </c>
      <c r="K104" s="49">
        <f>K105+K108+K111+K114+K115+K116+K117</f>
        <v>0</v>
      </c>
      <c r="L104" s="8"/>
      <c r="M104" s="19"/>
      <c r="P104" s="91"/>
    </row>
    <row r="105" spans="3:16" ht="45" x14ac:dyDescent="0.2">
      <c r="C105" s="2"/>
      <c r="D105" s="47" t="s">
        <v>204</v>
      </c>
      <c r="E105" s="43" t="s">
        <v>205</v>
      </c>
      <c r="F105" s="17" t="s">
        <v>206</v>
      </c>
      <c r="G105" s="18">
        <f t="shared" si="0"/>
        <v>0</v>
      </c>
      <c r="H105" s="50">
        <f>H106+H107</f>
        <v>0</v>
      </c>
      <c r="I105" s="50">
        <f>I106+I107</f>
        <v>0</v>
      </c>
      <c r="J105" s="50">
        <f>J106+J107</f>
        <v>0</v>
      </c>
      <c r="K105" s="50">
        <f>K106+K107</f>
        <v>0</v>
      </c>
      <c r="L105" s="8"/>
      <c r="M105" s="19"/>
      <c r="P105" s="91"/>
    </row>
    <row r="106" spans="3:16" ht="12.75" x14ac:dyDescent="0.2">
      <c r="C106" s="2"/>
      <c r="D106" s="47" t="s">
        <v>207</v>
      </c>
      <c r="E106" s="51" t="s">
        <v>208</v>
      </c>
      <c r="F106" s="17" t="s">
        <v>209</v>
      </c>
      <c r="G106" s="18">
        <f t="shared" si="0"/>
        <v>0</v>
      </c>
      <c r="H106" s="48"/>
      <c r="I106" s="48"/>
      <c r="J106" s="48"/>
      <c r="K106" s="48"/>
      <c r="L106" s="8"/>
      <c r="M106" s="19"/>
      <c r="P106" s="91"/>
    </row>
    <row r="107" spans="3:16" ht="12.75" x14ac:dyDescent="0.2">
      <c r="C107" s="2"/>
      <c r="D107" s="47" t="s">
        <v>210</v>
      </c>
      <c r="E107" s="51" t="s">
        <v>211</v>
      </c>
      <c r="F107" s="17" t="s">
        <v>212</v>
      </c>
      <c r="G107" s="18">
        <f t="shared" si="0"/>
        <v>0</v>
      </c>
      <c r="H107" s="48"/>
      <c r="I107" s="48"/>
      <c r="J107" s="48"/>
      <c r="K107" s="48"/>
      <c r="L107" s="8"/>
      <c r="M107" s="19"/>
      <c r="P107" s="91"/>
    </row>
    <row r="108" spans="3:16" ht="45" x14ac:dyDescent="0.2">
      <c r="C108" s="2"/>
      <c r="D108" s="47" t="s">
        <v>213</v>
      </c>
      <c r="E108" s="43" t="s">
        <v>214</v>
      </c>
      <c r="F108" s="17" t="s">
        <v>215</v>
      </c>
      <c r="G108" s="18">
        <f t="shared" si="0"/>
        <v>0</v>
      </c>
      <c r="H108" s="50">
        <f>H109+H110</f>
        <v>0</v>
      </c>
      <c r="I108" s="50">
        <f>I109+I110</f>
        <v>0</v>
      </c>
      <c r="J108" s="50">
        <f>J109+J110</f>
        <v>0</v>
      </c>
      <c r="K108" s="50">
        <f>K109+K110</f>
        <v>0</v>
      </c>
      <c r="L108" s="8"/>
      <c r="M108" s="19"/>
      <c r="P108" s="91"/>
    </row>
    <row r="109" spans="3:16" ht="12.75" x14ac:dyDescent="0.2">
      <c r="C109" s="2"/>
      <c r="D109" s="47" t="s">
        <v>216</v>
      </c>
      <c r="E109" s="51" t="s">
        <v>208</v>
      </c>
      <c r="F109" s="17" t="s">
        <v>217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12.75" x14ac:dyDescent="0.2">
      <c r="C110" s="2"/>
      <c r="D110" s="47" t="s">
        <v>218</v>
      </c>
      <c r="E110" s="51" t="s">
        <v>211</v>
      </c>
      <c r="F110" s="17" t="s">
        <v>219</v>
      </c>
      <c r="G110" s="18">
        <f t="shared" si="0"/>
        <v>0</v>
      </c>
      <c r="H110" s="48"/>
      <c r="I110" s="48"/>
      <c r="J110" s="48"/>
      <c r="K110" s="48"/>
      <c r="L110" s="8"/>
      <c r="M110" s="19"/>
      <c r="P110" s="91"/>
    </row>
    <row r="111" spans="3:16" ht="22.5" x14ac:dyDescent="0.2">
      <c r="C111" s="2"/>
      <c r="D111" s="47" t="s">
        <v>220</v>
      </c>
      <c r="E111" s="43" t="s">
        <v>221</v>
      </c>
      <c r="F111" s="17" t="s">
        <v>222</v>
      </c>
      <c r="G111" s="18">
        <f t="shared" si="0"/>
        <v>0</v>
      </c>
      <c r="H111" s="50">
        <f>H112+H113</f>
        <v>0</v>
      </c>
      <c r="I111" s="50">
        <f>I112+I113</f>
        <v>0</v>
      </c>
      <c r="J111" s="50">
        <f>J112+J113</f>
        <v>0</v>
      </c>
      <c r="K111" s="50">
        <f>K112+K113</f>
        <v>0</v>
      </c>
      <c r="L111" s="8"/>
      <c r="M111" s="19"/>
      <c r="P111" s="91"/>
    </row>
    <row r="112" spans="3:16" ht="12.75" x14ac:dyDescent="0.2">
      <c r="C112" s="2"/>
      <c r="D112" s="47" t="s">
        <v>223</v>
      </c>
      <c r="E112" s="51" t="s">
        <v>208</v>
      </c>
      <c r="F112" s="17" t="s">
        <v>224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12.75" x14ac:dyDescent="0.2">
      <c r="C113" s="2"/>
      <c r="D113" s="47" t="s">
        <v>225</v>
      </c>
      <c r="E113" s="51" t="s">
        <v>211</v>
      </c>
      <c r="F113" s="17" t="s">
        <v>226</v>
      </c>
      <c r="G113" s="18">
        <f t="shared" si="0"/>
        <v>0</v>
      </c>
      <c r="H113" s="48"/>
      <c r="I113" s="48"/>
      <c r="J113" s="48"/>
      <c r="K113" s="48"/>
      <c r="L113" s="8"/>
      <c r="M113" s="19"/>
      <c r="P113" s="91"/>
    </row>
    <row r="114" spans="3:16" ht="22.5" x14ac:dyDescent="0.2">
      <c r="C114" s="2"/>
      <c r="D114" s="47" t="s">
        <v>227</v>
      </c>
      <c r="E114" s="43" t="s">
        <v>228</v>
      </c>
      <c r="F114" s="17" t="s">
        <v>229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230</v>
      </c>
      <c r="E115" s="43" t="s">
        <v>231</v>
      </c>
      <c r="F115" s="17" t="s">
        <v>232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45" x14ac:dyDescent="0.2">
      <c r="C116" s="2"/>
      <c r="D116" s="47" t="s">
        <v>233</v>
      </c>
      <c r="E116" s="43" t="s">
        <v>234</v>
      </c>
      <c r="F116" s="17" t="s">
        <v>235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22.5" x14ac:dyDescent="0.2">
      <c r="C117" s="2"/>
      <c r="D117" s="47" t="s">
        <v>236</v>
      </c>
      <c r="E117" s="43" t="s">
        <v>237</v>
      </c>
      <c r="F117" s="17" t="s">
        <v>238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12.75" x14ac:dyDescent="0.2">
      <c r="C118" s="2"/>
      <c r="D118" s="47" t="s">
        <v>239</v>
      </c>
      <c r="E118" s="20" t="s">
        <v>240</v>
      </c>
      <c r="F118" s="17" t="s">
        <v>241</v>
      </c>
      <c r="G118" s="18">
        <f t="shared" si="0"/>
        <v>0</v>
      </c>
      <c r="H118" s="49">
        <f>H121</f>
        <v>0</v>
      </c>
      <c r="I118" s="49">
        <f>I121</f>
        <v>0</v>
      </c>
      <c r="J118" s="49">
        <f>J121</f>
        <v>0</v>
      </c>
      <c r="K118" s="49">
        <f>K121</f>
        <v>0</v>
      </c>
      <c r="L118" s="8"/>
      <c r="M118" s="19"/>
      <c r="P118" s="91">
        <v>770</v>
      </c>
    </row>
    <row r="119" spans="3:16" ht="12.75" x14ac:dyDescent="0.2">
      <c r="C119" s="2"/>
      <c r="D119" s="47" t="s">
        <v>242</v>
      </c>
      <c r="E119" s="42" t="s">
        <v>184</v>
      </c>
      <c r="F119" s="17" t="s">
        <v>243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>
        <v>780</v>
      </c>
    </row>
    <row r="120" spans="3:16" ht="12.75" x14ac:dyDescent="0.2">
      <c r="C120" s="2"/>
      <c r="D120" s="47" t="s">
        <v>244</v>
      </c>
      <c r="E120" s="43" t="s">
        <v>245</v>
      </c>
      <c r="F120" s="17" t="s">
        <v>246</v>
      </c>
      <c r="G120" s="18">
        <f t="shared" si="0"/>
        <v>0</v>
      </c>
      <c r="H120" s="48"/>
      <c r="I120" s="48"/>
      <c r="J120" s="48"/>
      <c r="K120" s="48"/>
      <c r="L120" s="8"/>
      <c r="M120" s="19"/>
      <c r="P120" s="91"/>
    </row>
    <row r="121" spans="3:16" ht="12.75" x14ac:dyDescent="0.2">
      <c r="C121" s="2"/>
      <c r="D121" s="47" t="s">
        <v>247</v>
      </c>
      <c r="E121" s="42" t="s">
        <v>190</v>
      </c>
      <c r="F121" s="17" t="s">
        <v>248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790</v>
      </c>
    </row>
    <row r="122" spans="3:16" ht="22.5" x14ac:dyDescent="0.2">
      <c r="C122" s="2"/>
      <c r="D122" s="47" t="s">
        <v>249</v>
      </c>
      <c r="E122" s="40" t="s">
        <v>250</v>
      </c>
      <c r="F122" s="17" t="s">
        <v>251</v>
      </c>
      <c r="G122" s="18">
        <f t="shared" si="0"/>
        <v>6832.8580000000002</v>
      </c>
      <c r="H122" s="49">
        <f>SUM(H123:H124)</f>
        <v>111.004</v>
      </c>
      <c r="I122" s="49">
        <f>SUM(I123:I124)</f>
        <v>4846.4889999999996</v>
      </c>
      <c r="J122" s="49">
        <f>SUM(J123:J124)</f>
        <v>1239.471</v>
      </c>
      <c r="K122" s="49">
        <f>SUM(K123:K124)</f>
        <v>635.89400000000001</v>
      </c>
      <c r="L122" s="8"/>
      <c r="M122" s="19"/>
      <c r="P122" s="91"/>
    </row>
    <row r="123" spans="3:16" ht="12.75" x14ac:dyDescent="0.2">
      <c r="C123" s="2"/>
      <c r="D123" s="47" t="s">
        <v>252</v>
      </c>
      <c r="E123" s="20" t="s">
        <v>178</v>
      </c>
      <c r="F123" s="17" t="s">
        <v>253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/>
    </row>
    <row r="124" spans="3:16" ht="12.75" x14ac:dyDescent="0.2">
      <c r="C124" s="2"/>
      <c r="D124" s="47" t="s">
        <v>254</v>
      </c>
      <c r="E124" s="20" t="s">
        <v>181</v>
      </c>
      <c r="F124" s="17" t="s">
        <v>255</v>
      </c>
      <c r="G124" s="18">
        <f t="shared" si="0"/>
        <v>6832.8580000000002</v>
      </c>
      <c r="H124" s="49">
        <f>H126</f>
        <v>111.004</v>
      </c>
      <c r="I124" s="49">
        <f>I126</f>
        <v>4846.4889999999996</v>
      </c>
      <c r="J124" s="49">
        <f>J126</f>
        <v>1239.471</v>
      </c>
      <c r="K124" s="49">
        <f>K126</f>
        <v>635.89400000000001</v>
      </c>
      <c r="L124" s="8"/>
      <c r="M124" s="19"/>
      <c r="P124" s="91"/>
    </row>
    <row r="125" spans="3:16" ht="12.75" x14ac:dyDescent="0.2">
      <c r="C125" s="2"/>
      <c r="D125" s="47" t="s">
        <v>256</v>
      </c>
      <c r="E125" s="42" t="s">
        <v>257</v>
      </c>
      <c r="F125" s="17" t="s">
        <v>258</v>
      </c>
      <c r="G125" s="18">
        <f t="shared" si="0"/>
        <v>25.006</v>
      </c>
      <c r="H125" s="48"/>
      <c r="I125" s="48">
        <f>I92</f>
        <v>25.006</v>
      </c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259</v>
      </c>
      <c r="E126" s="42" t="s">
        <v>190</v>
      </c>
      <c r="F126" s="17" t="s">
        <v>260</v>
      </c>
      <c r="G126" s="18">
        <f t="shared" si="0"/>
        <v>6832.8580000000002</v>
      </c>
      <c r="H126" s="48">
        <f>H47</f>
        <v>111.004</v>
      </c>
      <c r="I126" s="48">
        <f>I33+78.647</f>
        <v>4846.4889999999996</v>
      </c>
      <c r="J126" s="48">
        <f>J33+6.049</f>
        <v>1239.471</v>
      </c>
      <c r="K126" s="48">
        <f>K33</f>
        <v>635.89400000000001</v>
      </c>
      <c r="L126" s="8"/>
      <c r="M126" s="19"/>
      <c r="P126" s="91"/>
    </row>
    <row r="127" spans="3:16" ht="12.75" x14ac:dyDescent="0.2">
      <c r="C127" s="2"/>
      <c r="D127" s="111" t="s">
        <v>261</v>
      </c>
      <c r="E127" s="112"/>
      <c r="F127" s="112"/>
      <c r="G127" s="112"/>
      <c r="H127" s="112"/>
      <c r="I127" s="112"/>
      <c r="J127" s="112"/>
      <c r="K127" s="113"/>
      <c r="L127" s="8"/>
      <c r="M127" s="19"/>
      <c r="P127" s="93"/>
    </row>
    <row r="128" spans="3:16" ht="22.5" x14ac:dyDescent="0.2">
      <c r="C128" s="2"/>
      <c r="D128" s="47" t="s">
        <v>262</v>
      </c>
      <c r="E128" s="16" t="s">
        <v>263</v>
      </c>
      <c r="F128" s="17" t="s">
        <v>264</v>
      </c>
      <c r="G128" s="18">
        <f t="shared" si="0"/>
        <v>0</v>
      </c>
      <c r="H128" s="49">
        <f>SUM( H129:H130)</f>
        <v>0</v>
      </c>
      <c r="I128" s="49">
        <f>SUM( I129:I130)</f>
        <v>0</v>
      </c>
      <c r="J128" s="49">
        <f>SUM( J129:J130)</f>
        <v>0</v>
      </c>
      <c r="K128" s="49">
        <f>SUM( K129:K130)</f>
        <v>0</v>
      </c>
      <c r="L128" s="8"/>
      <c r="M128" s="19"/>
      <c r="P128" s="91">
        <v>800</v>
      </c>
    </row>
    <row r="129" spans="3:16" ht="12.75" x14ac:dyDescent="0.2">
      <c r="C129" s="2"/>
      <c r="D129" s="47" t="s">
        <v>265</v>
      </c>
      <c r="E129" s="20" t="s">
        <v>178</v>
      </c>
      <c r="F129" s="17" t="s">
        <v>266</v>
      </c>
      <c r="G129" s="18">
        <f t="shared" si="0"/>
        <v>0</v>
      </c>
      <c r="H129" s="48"/>
      <c r="I129" s="48"/>
      <c r="J129" s="48"/>
      <c r="K129" s="48"/>
      <c r="L129" s="8"/>
      <c r="M129" s="19"/>
      <c r="P129" s="91">
        <v>810</v>
      </c>
    </row>
    <row r="130" spans="3:16" ht="12.75" x14ac:dyDescent="0.2">
      <c r="C130" s="2"/>
      <c r="D130" s="47" t="s">
        <v>267</v>
      </c>
      <c r="E130" s="20" t="s">
        <v>181</v>
      </c>
      <c r="F130" s="17" t="s">
        <v>268</v>
      </c>
      <c r="G130" s="18">
        <f t="shared" si="0"/>
        <v>0</v>
      </c>
      <c r="H130" s="49">
        <f>H131+H133</f>
        <v>0</v>
      </c>
      <c r="I130" s="49">
        <f>I131+I133</f>
        <v>0</v>
      </c>
      <c r="J130" s="49">
        <f>J131+J133</f>
        <v>0</v>
      </c>
      <c r="K130" s="49">
        <f>K131+K133</f>
        <v>0</v>
      </c>
      <c r="L130" s="8"/>
      <c r="M130" s="19"/>
      <c r="P130" s="91">
        <v>820</v>
      </c>
    </row>
    <row r="131" spans="3:16" ht="12.75" x14ac:dyDescent="0.2">
      <c r="C131" s="2"/>
      <c r="D131" s="47" t="s">
        <v>269</v>
      </c>
      <c r="E131" s="42" t="s">
        <v>270</v>
      </c>
      <c r="F131" s="17" t="s">
        <v>271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830</v>
      </c>
    </row>
    <row r="132" spans="3:16" ht="12.75" x14ac:dyDescent="0.2">
      <c r="C132" s="2"/>
      <c r="D132" s="47" t="s">
        <v>272</v>
      </c>
      <c r="E132" s="43" t="s">
        <v>273</v>
      </c>
      <c r="F132" s="17" t="s">
        <v>274</v>
      </c>
      <c r="G132" s="18">
        <f t="shared" si="0"/>
        <v>0</v>
      </c>
      <c r="H132" s="48"/>
      <c r="I132" s="48"/>
      <c r="J132" s="48"/>
      <c r="K132" s="48"/>
      <c r="L132" s="8"/>
      <c r="M132" s="19"/>
      <c r="P132" s="93"/>
    </row>
    <row r="133" spans="3:16" ht="12.75" x14ac:dyDescent="0.2">
      <c r="C133" s="2"/>
      <c r="D133" s="47" t="s">
        <v>275</v>
      </c>
      <c r="E133" s="42" t="s">
        <v>276</v>
      </c>
      <c r="F133" s="17" t="s">
        <v>277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840</v>
      </c>
    </row>
    <row r="134" spans="3:16" ht="12.75" x14ac:dyDescent="0.2">
      <c r="C134" s="2"/>
      <c r="D134" s="47" t="s">
        <v>19</v>
      </c>
      <c r="E134" s="16" t="s">
        <v>278</v>
      </c>
      <c r="F134" s="17" t="s">
        <v>279</v>
      </c>
      <c r="G134" s="18">
        <f t="shared" si="0"/>
        <v>0</v>
      </c>
      <c r="H134" s="50">
        <f>SUM( H135+H140)</f>
        <v>0</v>
      </c>
      <c r="I134" s="50">
        <f>SUM( I135+I140)</f>
        <v>0</v>
      </c>
      <c r="J134" s="50">
        <f>SUM( J135+J140)</f>
        <v>0</v>
      </c>
      <c r="K134" s="50">
        <f>SUM( K135+K140)</f>
        <v>0</v>
      </c>
      <c r="L134" s="52"/>
      <c r="M134" s="19"/>
      <c r="P134" s="91">
        <v>850</v>
      </c>
    </row>
    <row r="135" spans="3:16" ht="12.75" x14ac:dyDescent="0.2">
      <c r="C135" s="2"/>
      <c r="D135" s="47" t="s">
        <v>280</v>
      </c>
      <c r="E135" s="20" t="s">
        <v>178</v>
      </c>
      <c r="F135" s="17" t="s">
        <v>281</v>
      </c>
      <c r="G135" s="18">
        <f t="shared" ref="G135:G148" si="1">SUM(H135:K135)</f>
        <v>0</v>
      </c>
      <c r="H135" s="50">
        <f>SUM( H136:H137)</f>
        <v>0</v>
      </c>
      <c r="I135" s="50">
        <f>SUM( I136:I137)</f>
        <v>0</v>
      </c>
      <c r="J135" s="50">
        <f>SUM( J136:J137)</f>
        <v>0</v>
      </c>
      <c r="K135" s="50">
        <f>SUM( K136:K137)</f>
        <v>0</v>
      </c>
      <c r="L135" s="52"/>
      <c r="M135" s="19"/>
      <c r="P135" s="91">
        <v>860</v>
      </c>
    </row>
    <row r="136" spans="3:16" ht="12.75" x14ac:dyDescent="0.2">
      <c r="C136" s="2"/>
      <c r="D136" s="47" t="s">
        <v>282</v>
      </c>
      <c r="E136" s="42" t="s">
        <v>199</v>
      </c>
      <c r="F136" s="17" t="s">
        <v>283</v>
      </c>
      <c r="G136" s="18">
        <f t="shared" si="1"/>
        <v>0</v>
      </c>
      <c r="H136" s="53"/>
      <c r="I136" s="53"/>
      <c r="J136" s="53"/>
      <c r="K136" s="53"/>
      <c r="L136" s="52"/>
      <c r="M136" s="19"/>
      <c r="P136" s="91"/>
    </row>
    <row r="137" spans="3:16" ht="12.75" x14ac:dyDescent="0.2">
      <c r="C137" s="2"/>
      <c r="D137" s="47" t="s">
        <v>284</v>
      </c>
      <c r="E137" s="42" t="s">
        <v>202</v>
      </c>
      <c r="F137" s="17" t="s">
        <v>285</v>
      </c>
      <c r="G137" s="18">
        <f t="shared" si="1"/>
        <v>0</v>
      </c>
      <c r="H137" s="50">
        <f>H138+H139</f>
        <v>0</v>
      </c>
      <c r="I137" s="50">
        <f>I138+I139</f>
        <v>0</v>
      </c>
      <c r="J137" s="50">
        <f>J138+J139</f>
        <v>0</v>
      </c>
      <c r="K137" s="50">
        <f>K138+K139</f>
        <v>0</v>
      </c>
      <c r="L137" s="52"/>
      <c r="M137" s="19"/>
      <c r="P137" s="91"/>
    </row>
    <row r="138" spans="3:16" ht="12.75" x14ac:dyDescent="0.2">
      <c r="C138" s="2"/>
      <c r="D138" s="47" t="s">
        <v>286</v>
      </c>
      <c r="E138" s="43" t="s">
        <v>208</v>
      </c>
      <c r="F138" s="17" t="s">
        <v>287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288</v>
      </c>
      <c r="E139" s="43" t="s">
        <v>289</v>
      </c>
      <c r="F139" s="17" t="s">
        <v>290</v>
      </c>
      <c r="G139" s="18">
        <f t="shared" si="1"/>
        <v>0</v>
      </c>
      <c r="H139" s="53"/>
      <c r="I139" s="53"/>
      <c r="J139" s="53"/>
      <c r="K139" s="53"/>
      <c r="L139" s="52"/>
      <c r="M139" s="19"/>
      <c r="P139" s="91"/>
    </row>
    <row r="140" spans="3:16" ht="12.75" x14ac:dyDescent="0.2">
      <c r="C140" s="2"/>
      <c r="D140" s="47" t="s">
        <v>291</v>
      </c>
      <c r="E140" s="20" t="s">
        <v>240</v>
      </c>
      <c r="F140" s="17" t="s">
        <v>292</v>
      </c>
      <c r="G140" s="18">
        <f t="shared" si="1"/>
        <v>0</v>
      </c>
      <c r="H140" s="50">
        <f>H141+H143</f>
        <v>0</v>
      </c>
      <c r="I140" s="50">
        <f>I141+I143</f>
        <v>0</v>
      </c>
      <c r="J140" s="50">
        <f>J141+J143</f>
        <v>0</v>
      </c>
      <c r="K140" s="50">
        <f>K141+K143</f>
        <v>0</v>
      </c>
      <c r="L140" s="52"/>
      <c r="M140" s="19"/>
      <c r="P140" s="91">
        <v>870</v>
      </c>
    </row>
    <row r="141" spans="3:16" ht="12.75" x14ac:dyDescent="0.2">
      <c r="C141" s="2"/>
      <c r="D141" s="47" t="s">
        <v>293</v>
      </c>
      <c r="E141" s="42" t="s">
        <v>270</v>
      </c>
      <c r="F141" s="17" t="s">
        <v>294</v>
      </c>
      <c r="G141" s="18">
        <f t="shared" si="1"/>
        <v>0</v>
      </c>
      <c r="H141" s="48"/>
      <c r="I141" s="48"/>
      <c r="J141" s="48"/>
      <c r="K141" s="48"/>
      <c r="L141" s="52"/>
      <c r="M141" s="19"/>
      <c r="P141" s="91">
        <v>880</v>
      </c>
    </row>
    <row r="142" spans="3:16" ht="12.75" x14ac:dyDescent="0.2">
      <c r="C142" s="2"/>
      <c r="D142" s="47" t="s">
        <v>295</v>
      </c>
      <c r="E142" s="43" t="s">
        <v>273</v>
      </c>
      <c r="F142" s="17" t="s">
        <v>296</v>
      </c>
      <c r="G142" s="18">
        <f t="shared" si="1"/>
        <v>0</v>
      </c>
      <c r="H142" s="48"/>
      <c r="I142" s="48"/>
      <c r="J142" s="48"/>
      <c r="K142" s="48"/>
      <c r="L142" s="52"/>
      <c r="M142" s="19"/>
      <c r="P142" s="91"/>
    </row>
    <row r="143" spans="3:16" ht="12.75" x14ac:dyDescent="0.2">
      <c r="C143" s="2"/>
      <c r="D143" s="47" t="s">
        <v>297</v>
      </c>
      <c r="E143" s="42" t="s">
        <v>276</v>
      </c>
      <c r="F143" s="17" t="s">
        <v>298</v>
      </c>
      <c r="G143" s="18">
        <f t="shared" si="1"/>
        <v>0</v>
      </c>
      <c r="H143" s="54"/>
      <c r="I143" s="54"/>
      <c r="J143" s="54"/>
      <c r="K143" s="54"/>
      <c r="L143" s="52"/>
      <c r="M143" s="19"/>
      <c r="P143" s="91">
        <v>890</v>
      </c>
    </row>
    <row r="144" spans="3:16" ht="22.5" x14ac:dyDescent="0.2">
      <c r="C144" s="2"/>
      <c r="D144" s="47" t="s">
        <v>299</v>
      </c>
      <c r="E144" s="16" t="s">
        <v>300</v>
      </c>
      <c r="F144" s="17" t="s">
        <v>301</v>
      </c>
      <c r="G144" s="18">
        <f t="shared" si="1"/>
        <v>3719.663195352</v>
      </c>
      <c r="H144" s="55">
        <f>SUM( H145:H146)</f>
        <v>11.841906720000001</v>
      </c>
      <c r="I144" s="55">
        <f>SUM( I145:I146)</f>
        <v>3507.7573504319998</v>
      </c>
      <c r="J144" s="55">
        <f>SUM( J145:J146)</f>
        <v>132.22676627999999</v>
      </c>
      <c r="K144" s="55">
        <f>SUM( K145:K146)</f>
        <v>67.837171920000003</v>
      </c>
      <c r="L144" s="52"/>
      <c r="M144" s="19"/>
      <c r="P144" s="91">
        <v>900</v>
      </c>
    </row>
    <row r="145" spans="3:19" ht="12.75" x14ac:dyDescent="0.2">
      <c r="C145" s="2"/>
      <c r="D145" s="47" t="s">
        <v>302</v>
      </c>
      <c r="E145" s="20" t="s">
        <v>178</v>
      </c>
      <c r="F145" s="17" t="s">
        <v>303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/>
    </row>
    <row r="146" spans="3:19" ht="12.75" x14ac:dyDescent="0.2">
      <c r="C146" s="2"/>
      <c r="D146" s="47" t="s">
        <v>304</v>
      </c>
      <c r="E146" s="20" t="s">
        <v>181</v>
      </c>
      <c r="F146" s="17" t="s">
        <v>305</v>
      </c>
      <c r="G146" s="18">
        <f t="shared" si="1"/>
        <v>3719.663195352</v>
      </c>
      <c r="H146" s="55">
        <f>H147+H148</f>
        <v>11.841906720000001</v>
      </c>
      <c r="I146" s="55">
        <f>I147+I148</f>
        <v>3507.7573504319998</v>
      </c>
      <c r="J146" s="55">
        <f>J147+J148</f>
        <v>132.22676627999999</v>
      </c>
      <c r="K146" s="55">
        <f>K147+K148</f>
        <v>67.837171920000003</v>
      </c>
      <c r="L146" s="52"/>
      <c r="M146" s="19"/>
      <c r="P146" s="91"/>
    </row>
    <row r="147" spans="3:19" ht="12.75" x14ac:dyDescent="0.2">
      <c r="C147" s="2"/>
      <c r="D147" s="47" t="s">
        <v>306</v>
      </c>
      <c r="E147" s="42" t="s">
        <v>307</v>
      </c>
      <c r="F147" s="17" t="s">
        <v>308</v>
      </c>
      <c r="G147" s="18">
        <f t="shared" si="1"/>
        <v>2990.7339039119997</v>
      </c>
      <c r="H147" s="54"/>
      <c r="I147" s="54">
        <f>I125*99667.21/1000*1.2</f>
        <v>2990.7339039119997</v>
      </c>
      <c r="J147" s="54"/>
      <c r="K147" s="54"/>
      <c r="L147" s="52"/>
      <c r="M147" s="19"/>
      <c r="P147" s="91" t="s">
        <v>338</v>
      </c>
    </row>
    <row r="148" spans="3:19" ht="12.75" x14ac:dyDescent="0.2">
      <c r="C148" s="2"/>
      <c r="D148" s="47" t="s">
        <v>309</v>
      </c>
      <c r="E148" s="42" t="s">
        <v>276</v>
      </c>
      <c r="F148" s="17" t="s">
        <v>310</v>
      </c>
      <c r="G148" s="18">
        <f t="shared" si="1"/>
        <v>728.92929143999982</v>
      </c>
      <c r="H148" s="54">
        <f>H126*88.9/1000*1.2</f>
        <v>11.841906720000001</v>
      </c>
      <c r="I148" s="54">
        <f>I126*88.9/1000*1.2</f>
        <v>517.02344651999988</v>
      </c>
      <c r="J148" s="54">
        <f>J126*88.9/1000*1.2</f>
        <v>132.22676627999999</v>
      </c>
      <c r="K148" s="54">
        <f>K126*88.9/1000*1.2</f>
        <v>67.837171920000003</v>
      </c>
      <c r="L148" s="52"/>
      <c r="M148" s="19"/>
      <c r="P148" s="91" t="s">
        <v>339</v>
      </c>
    </row>
    <row r="149" spans="3:19" x14ac:dyDescent="0.25">
      <c r="D149" s="6"/>
      <c r="E149" s="56"/>
      <c r="F149" s="56"/>
      <c r="G149" s="56"/>
      <c r="H149" s="56"/>
      <c r="I149" s="56"/>
      <c r="J149" s="56"/>
      <c r="K149" s="57"/>
      <c r="L149" s="57"/>
      <c r="M149" s="57"/>
      <c r="N149" s="57"/>
      <c r="O149" s="57"/>
      <c r="P149" s="57"/>
      <c r="Q149" s="57"/>
      <c r="R149" s="94"/>
      <c r="S149" s="94"/>
    </row>
    <row r="150" spans="3:19" ht="12.75" x14ac:dyDescent="0.2">
      <c r="E150" s="19" t="s">
        <v>311</v>
      </c>
      <c r="F150" s="103" t="str">
        <f>IF([9]Титульный!G45="","",[9]Титульный!G45)</f>
        <v>экономист</v>
      </c>
      <c r="G150" s="103"/>
      <c r="H150" s="58"/>
      <c r="I150" s="103" t="str">
        <f>IF([9]Титульный!G44="","",[9]Титульный!G44)</f>
        <v>Кривнева Е. В.</v>
      </c>
      <c r="J150" s="103"/>
      <c r="K150" s="103"/>
      <c r="L150" s="58"/>
      <c r="M150" s="59"/>
      <c r="N150" s="59"/>
      <c r="O150" s="61"/>
      <c r="P150" s="57"/>
      <c r="Q150" s="57"/>
      <c r="R150" s="94"/>
      <c r="S150" s="94"/>
    </row>
    <row r="151" spans="3:19" ht="12.75" x14ac:dyDescent="0.2">
      <c r="E151" s="60" t="s">
        <v>312</v>
      </c>
      <c r="F151" s="102" t="s">
        <v>313</v>
      </c>
      <c r="G151" s="102"/>
      <c r="H151" s="61"/>
      <c r="I151" s="102" t="s">
        <v>314</v>
      </c>
      <c r="J151" s="102"/>
      <c r="K151" s="102"/>
      <c r="L151" s="61"/>
      <c r="M151" s="102" t="s">
        <v>315</v>
      </c>
      <c r="N151" s="102"/>
      <c r="O151" s="19"/>
      <c r="P151" s="57"/>
      <c r="Q151" s="57"/>
      <c r="R151" s="94"/>
      <c r="S151" s="94"/>
    </row>
    <row r="152" spans="3:19" ht="12.75" x14ac:dyDescent="0.2">
      <c r="E152" s="60" t="s">
        <v>316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57"/>
      <c r="Q152" s="57"/>
      <c r="R152" s="94"/>
      <c r="S152" s="94"/>
    </row>
    <row r="153" spans="3:19" ht="12.75" x14ac:dyDescent="0.2">
      <c r="E153" s="60" t="s">
        <v>317</v>
      </c>
      <c r="F153" s="103" t="str">
        <f>IF([9]Титульный!G46="","",[9]Титульный!G46)</f>
        <v>(861) 258-50-71</v>
      </c>
      <c r="G153" s="103"/>
      <c r="H153" s="103"/>
      <c r="I153" s="19"/>
      <c r="J153" s="60" t="s">
        <v>318</v>
      </c>
      <c r="K153" s="100"/>
      <c r="L153" s="19"/>
      <c r="M153" s="19"/>
      <c r="N153" s="19"/>
      <c r="O153" s="19"/>
      <c r="P153" s="57"/>
      <c r="Q153" s="57"/>
      <c r="R153" s="94"/>
      <c r="S153" s="94"/>
    </row>
    <row r="154" spans="3:19" ht="12.75" x14ac:dyDescent="0.2">
      <c r="E154" s="19" t="s">
        <v>319</v>
      </c>
      <c r="F154" s="104" t="s">
        <v>320</v>
      </c>
      <c r="G154" s="104"/>
      <c r="H154" s="104"/>
      <c r="I154" s="19"/>
      <c r="J154" s="63" t="s">
        <v>321</v>
      </c>
      <c r="K154" s="63"/>
      <c r="L154" s="19"/>
      <c r="M154" s="19"/>
      <c r="N154" s="19"/>
      <c r="O154" s="19"/>
      <c r="P154" s="57"/>
      <c r="Q154" s="57"/>
      <c r="R154" s="94"/>
      <c r="S154" s="94"/>
    </row>
    <row r="155" spans="3:19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94"/>
      <c r="S155" s="94"/>
    </row>
    <row r="156" spans="3:19" x14ac:dyDescent="0.25"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5:19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</sheetData>
  <mergeCells count="18">
    <mergeCell ref="F151:G151"/>
    <mergeCell ref="I151:K151"/>
    <mergeCell ref="M151:N151"/>
    <mergeCell ref="F153:H153"/>
    <mergeCell ref="F154:H154"/>
    <mergeCell ref="D14:K14"/>
    <mergeCell ref="D52:K52"/>
    <mergeCell ref="D90:K90"/>
    <mergeCell ref="D94:K94"/>
    <mergeCell ref="D127:K127"/>
    <mergeCell ref="F150:G150"/>
    <mergeCell ref="I150:K150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65:K79 G15:K18 G81:K89 G95:K126 G61:K63 G43:K51 G27:K41 G128:K148 G58:K59 G20:K21 G53:K5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abSelected="1" topLeftCell="C7" workbookViewId="0">
      <selection activeCell="N24" sqref="N24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101" t="s">
        <v>7</v>
      </c>
      <c r="I12" s="101" t="s">
        <v>8</v>
      </c>
      <c r="J12" s="101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69887.040000000008</v>
      </c>
      <c r="H15" s="18">
        <f>H16+H17+H21+H24</f>
        <v>9127.8809999999994</v>
      </c>
      <c r="I15" s="18">
        <f>I16+I17+I21+I24</f>
        <v>57994.400000000001</v>
      </c>
      <c r="J15" s="18">
        <f>J16+J17+J21+J24</f>
        <v>2764.759</v>
      </c>
      <c r="K15" s="18">
        <f>K16+K17+K21+K24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6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5.3250000000000002</v>
      </c>
      <c r="H17" s="18">
        <f>SUM(H18:H20)</f>
        <v>0</v>
      </c>
      <c r="I17" s="18">
        <f>SUM(I18:I20)</f>
        <v>0</v>
      </c>
      <c r="J17" s="18">
        <f>SUM(J18:J20)</f>
        <v>5.3250000000000002</v>
      </c>
      <c r="K17" s="18">
        <f>SUM(K18:K20)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5" x14ac:dyDescent="0.25">
      <c r="C19" s="30" t="s">
        <v>29</v>
      </c>
      <c r="D19" s="31" t="s">
        <v>340</v>
      </c>
      <c r="E19" s="32" t="s">
        <v>341</v>
      </c>
      <c r="F19" s="33">
        <v>31</v>
      </c>
      <c r="G19" s="34">
        <f>SUM(H19:K19)</f>
        <v>5.3250000000000002</v>
      </c>
      <c r="H19" s="35"/>
      <c r="I19" s="35"/>
      <c r="J19" s="35">
        <v>5.3250000000000002</v>
      </c>
      <c r="K19" s="36"/>
      <c r="L19" s="13"/>
      <c r="M19" s="37" t="s">
        <v>342</v>
      </c>
      <c r="N19" s="38" t="s">
        <v>343</v>
      </c>
      <c r="O19" s="38" t="s">
        <v>344</v>
      </c>
    </row>
    <row r="20" spans="3:16" s="14" customFormat="1" ht="12.75" x14ac:dyDescent="0.2">
      <c r="C20" s="12"/>
      <c r="D20" s="26"/>
      <c r="E20" s="27" t="s">
        <v>20</v>
      </c>
      <c r="F20" s="28"/>
      <c r="G20" s="28"/>
      <c r="H20" s="28"/>
      <c r="I20" s="28"/>
      <c r="J20" s="28"/>
      <c r="K20" s="29"/>
      <c r="L20" s="13"/>
      <c r="M20" s="19"/>
      <c r="P20" s="92"/>
    </row>
    <row r="21" spans="3:16" s="14" customFormat="1" ht="12.75" x14ac:dyDescent="0.2">
      <c r="C21" s="12"/>
      <c r="D21" s="15" t="s">
        <v>21</v>
      </c>
      <c r="E21" s="20" t="s">
        <v>22</v>
      </c>
      <c r="F21" s="17" t="s">
        <v>23</v>
      </c>
      <c r="G21" s="18">
        <f t="shared" si="0"/>
        <v>0</v>
      </c>
      <c r="H21" s="18">
        <f>SUM(H22:H23)</f>
        <v>0</v>
      </c>
      <c r="I21" s="18">
        <f>SUM(I22:I23)</f>
        <v>0</v>
      </c>
      <c r="J21" s="18">
        <f>SUM(J22:J23)</f>
        <v>0</v>
      </c>
      <c r="K21" s="18">
        <f>SUM(K22:K23)</f>
        <v>0</v>
      </c>
      <c r="L21" s="13"/>
      <c r="M21" s="19"/>
      <c r="P21" s="92"/>
    </row>
    <row r="22" spans="3:16" s="14" customFormat="1" ht="12.75" x14ac:dyDescent="0.2">
      <c r="C22" s="12"/>
      <c r="D22" s="22" t="s">
        <v>24</v>
      </c>
      <c r="E22" s="23"/>
      <c r="F22" s="24" t="s">
        <v>23</v>
      </c>
      <c r="G22" s="25"/>
      <c r="H22" s="25"/>
      <c r="I22" s="25"/>
      <c r="J22" s="25"/>
      <c r="K22" s="25"/>
      <c r="L22" s="13"/>
      <c r="M22" s="19"/>
      <c r="P22" s="91"/>
    </row>
    <row r="23" spans="3:16" s="14" customFormat="1" ht="12.75" x14ac:dyDescent="0.2">
      <c r="C23" s="12"/>
      <c r="D23" s="26"/>
      <c r="E23" s="27" t="s">
        <v>20</v>
      </c>
      <c r="F23" s="28"/>
      <c r="G23" s="28"/>
      <c r="H23" s="28"/>
      <c r="I23" s="28"/>
      <c r="J23" s="28"/>
      <c r="K23" s="29"/>
      <c r="L23" s="13"/>
      <c r="M23" s="19"/>
      <c r="P23" s="92"/>
    </row>
    <row r="24" spans="3:16" s="14" customFormat="1" ht="12.75" x14ac:dyDescent="0.2">
      <c r="C24" s="12"/>
      <c r="D24" s="15" t="s">
        <v>25</v>
      </c>
      <c r="E24" s="20" t="s">
        <v>26</v>
      </c>
      <c r="F24" s="17" t="s">
        <v>27</v>
      </c>
      <c r="G24" s="18">
        <f t="shared" si="0"/>
        <v>69881.714999999997</v>
      </c>
      <c r="H24" s="18">
        <f>SUM(H25:H27)</f>
        <v>9127.8809999999994</v>
      </c>
      <c r="I24" s="18">
        <f>SUM(I25:I27)</f>
        <v>57994.400000000001</v>
      </c>
      <c r="J24" s="18">
        <f>SUM(J25:J27)</f>
        <v>2759.4340000000002</v>
      </c>
      <c r="K24" s="18">
        <f>SUM(K25:K27)</f>
        <v>0</v>
      </c>
      <c r="L24" s="13"/>
      <c r="M24" s="19"/>
      <c r="P24" s="91">
        <v>40</v>
      </c>
    </row>
    <row r="25" spans="3:16" s="14" customFormat="1" ht="12.75" x14ac:dyDescent="0.2">
      <c r="C25" s="12"/>
      <c r="D25" s="22" t="s">
        <v>28</v>
      </c>
      <c r="E25" s="23"/>
      <c r="F25" s="24" t="s">
        <v>27</v>
      </c>
      <c r="G25" s="25"/>
      <c r="H25" s="25"/>
      <c r="I25" s="25"/>
      <c r="J25" s="25"/>
      <c r="K25" s="25"/>
      <c r="L25" s="13"/>
      <c r="M25" s="19"/>
      <c r="P25" s="91"/>
    </row>
    <row r="26" spans="3:16" s="14" customFormat="1" ht="15" x14ac:dyDescent="0.25">
      <c r="C26" s="30" t="s">
        <v>29</v>
      </c>
      <c r="D26" s="31" t="s">
        <v>30</v>
      </c>
      <c r="E26" s="32" t="s">
        <v>31</v>
      </c>
      <c r="F26" s="33">
        <v>431</v>
      </c>
      <c r="G26" s="34">
        <f>SUM(H26:K26)</f>
        <v>69881.714999999997</v>
      </c>
      <c r="H26" s="35">
        <v>9127.8809999999994</v>
      </c>
      <c r="I26" s="35">
        <v>57994.400000000001</v>
      </c>
      <c r="J26" s="35">
        <v>2759.4340000000002</v>
      </c>
      <c r="K26" s="36"/>
      <c r="L26" s="13"/>
      <c r="M26" s="37" t="s">
        <v>32</v>
      </c>
      <c r="N26" s="38" t="s">
        <v>33</v>
      </c>
      <c r="O26" s="38" t="s">
        <v>336</v>
      </c>
    </row>
    <row r="27" spans="3:16" s="14" customFormat="1" ht="12.75" x14ac:dyDescent="0.2">
      <c r="C27" s="12"/>
      <c r="D27" s="26"/>
      <c r="E27" s="27" t="s">
        <v>20</v>
      </c>
      <c r="F27" s="28"/>
      <c r="G27" s="28"/>
      <c r="H27" s="28"/>
      <c r="I27" s="28"/>
      <c r="J27" s="28"/>
      <c r="K27" s="29"/>
      <c r="L27" s="13"/>
      <c r="M27" s="19"/>
      <c r="P27" s="91"/>
    </row>
    <row r="28" spans="3:16" s="14" customFormat="1" ht="12.75" x14ac:dyDescent="0.2">
      <c r="C28" s="12"/>
      <c r="D28" s="15" t="s">
        <v>34</v>
      </c>
      <c r="E28" s="16" t="s">
        <v>35</v>
      </c>
      <c r="F28" s="17" t="s">
        <v>36</v>
      </c>
      <c r="G28" s="18">
        <f t="shared" si="0"/>
        <v>28362.631000000008</v>
      </c>
      <c r="H28" s="18">
        <f>H30+H31+H32</f>
        <v>0</v>
      </c>
      <c r="I28" s="18">
        <f>I29+I31+I32</f>
        <v>0</v>
      </c>
      <c r="J28" s="18">
        <f>J29+J30+J32</f>
        <v>19620.279000000002</v>
      </c>
      <c r="K28" s="18">
        <f>K29+K30+K31</f>
        <v>8742.3520000000044</v>
      </c>
      <c r="L28" s="13"/>
      <c r="M28" s="19"/>
      <c r="P28" s="91">
        <v>50</v>
      </c>
    </row>
    <row r="29" spans="3:16" s="14" customFormat="1" ht="12.75" x14ac:dyDescent="0.2">
      <c r="C29" s="12"/>
      <c r="D29" s="15" t="s">
        <v>37</v>
      </c>
      <c r="E29" s="20" t="s">
        <v>7</v>
      </c>
      <c r="F29" s="17" t="s">
        <v>38</v>
      </c>
      <c r="G29" s="18">
        <f t="shared" si="0"/>
        <v>8801.8739999999998</v>
      </c>
      <c r="H29" s="39"/>
      <c r="I29" s="21"/>
      <c r="J29" s="21">
        <f>H45</f>
        <v>8801.8739999999998</v>
      </c>
      <c r="K29" s="21"/>
      <c r="L29" s="13"/>
      <c r="M29" s="19"/>
      <c r="P29" s="91">
        <v>60</v>
      </c>
    </row>
    <row r="30" spans="3:16" s="14" customFormat="1" ht="12.75" x14ac:dyDescent="0.2">
      <c r="C30" s="12"/>
      <c r="D30" s="15" t="s">
        <v>39</v>
      </c>
      <c r="E30" s="20" t="s">
        <v>8</v>
      </c>
      <c r="F30" s="17" t="s">
        <v>40</v>
      </c>
      <c r="G30" s="18">
        <f t="shared" si="0"/>
        <v>10818.405000000001</v>
      </c>
      <c r="H30" s="21"/>
      <c r="I30" s="39"/>
      <c r="J30" s="21">
        <f>I26-I34-I48</f>
        <v>10818.405000000001</v>
      </c>
      <c r="K30" s="21"/>
      <c r="L30" s="13"/>
      <c r="M30" s="19"/>
      <c r="P30" s="91">
        <v>70</v>
      </c>
    </row>
    <row r="31" spans="3:16" s="14" customFormat="1" ht="12.75" x14ac:dyDescent="0.2">
      <c r="C31" s="12"/>
      <c r="D31" s="15" t="s">
        <v>41</v>
      </c>
      <c r="E31" s="20" t="s">
        <v>9</v>
      </c>
      <c r="F31" s="17" t="s">
        <v>42</v>
      </c>
      <c r="G31" s="18">
        <f t="shared" si="0"/>
        <v>8742.3520000000044</v>
      </c>
      <c r="H31" s="21"/>
      <c r="I31" s="21"/>
      <c r="J31" s="39"/>
      <c r="K31" s="21">
        <f>J24+J28+J17-J48-J34</f>
        <v>8742.3520000000044</v>
      </c>
      <c r="L31" s="13"/>
      <c r="M31" s="19"/>
      <c r="P31" s="91">
        <v>80</v>
      </c>
    </row>
    <row r="32" spans="3:16" s="14" customFormat="1" ht="12.75" x14ac:dyDescent="0.2">
      <c r="C32" s="12"/>
      <c r="D32" s="15" t="s">
        <v>43</v>
      </c>
      <c r="E32" s="20" t="s">
        <v>44</v>
      </c>
      <c r="F32" s="17" t="s">
        <v>45</v>
      </c>
      <c r="G32" s="18">
        <f t="shared" si="0"/>
        <v>0</v>
      </c>
      <c r="H32" s="21"/>
      <c r="I32" s="21"/>
      <c r="J32" s="21"/>
      <c r="K32" s="39"/>
      <c r="L32" s="13"/>
      <c r="M32" s="19"/>
      <c r="P32" s="91">
        <v>90</v>
      </c>
    </row>
    <row r="33" spans="3:16" s="14" customFormat="1" ht="12.75" x14ac:dyDescent="0.2">
      <c r="C33" s="12"/>
      <c r="D33" s="15" t="s">
        <v>46</v>
      </c>
      <c r="E33" s="40" t="s">
        <v>47</v>
      </c>
      <c r="F33" s="17" t="s">
        <v>48</v>
      </c>
      <c r="G33" s="18">
        <f t="shared" si="0"/>
        <v>0</v>
      </c>
      <c r="H33" s="21"/>
      <c r="I33" s="21"/>
      <c r="J33" s="21"/>
      <c r="K33" s="21"/>
      <c r="L33" s="13"/>
      <c r="M33" s="19"/>
      <c r="P33" s="91"/>
    </row>
    <row r="34" spans="3:16" s="14" customFormat="1" ht="12.75" x14ac:dyDescent="0.2">
      <c r="C34" s="12"/>
      <c r="D34" s="15" t="s">
        <v>49</v>
      </c>
      <c r="E34" s="16" t="s">
        <v>50</v>
      </c>
      <c r="F34" s="41" t="s">
        <v>51</v>
      </c>
      <c r="G34" s="18">
        <f t="shared" si="0"/>
        <v>68200.683000000005</v>
      </c>
      <c r="H34" s="18">
        <f>H35+H37+H40+H44</f>
        <v>0</v>
      </c>
      <c r="I34" s="18">
        <f>I35+I37+I40+I44</f>
        <v>46750.703000000001</v>
      </c>
      <c r="J34" s="18">
        <f>J35+J37+J40+J44</f>
        <v>13236.727000000001</v>
      </c>
      <c r="K34" s="18">
        <f>K35+K37+K40+K44</f>
        <v>8213.2530000000006</v>
      </c>
      <c r="L34" s="13"/>
      <c r="M34" s="19"/>
      <c r="P34" s="91">
        <v>100</v>
      </c>
    </row>
    <row r="35" spans="3:16" s="14" customFormat="1" ht="22.5" x14ac:dyDescent="0.2">
      <c r="C35" s="12"/>
      <c r="D35" s="15" t="s">
        <v>52</v>
      </c>
      <c r="E35" s="20" t="s">
        <v>53</v>
      </c>
      <c r="F35" s="17" t="s">
        <v>54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55</v>
      </c>
      <c r="E36" s="42" t="s">
        <v>56</v>
      </c>
      <c r="F36" s="17" t="s">
        <v>57</v>
      </c>
      <c r="G36" s="18">
        <f t="shared" si="0"/>
        <v>0</v>
      </c>
      <c r="H36" s="21"/>
      <c r="I36" s="21"/>
      <c r="J36" s="21"/>
      <c r="K36" s="21"/>
      <c r="L36" s="13"/>
      <c r="M36" s="19"/>
      <c r="P36" s="91"/>
    </row>
    <row r="37" spans="3:16" s="14" customFormat="1" ht="12.75" x14ac:dyDescent="0.2">
      <c r="C37" s="12"/>
      <c r="D37" s="15" t="s">
        <v>58</v>
      </c>
      <c r="E37" s="20" t="s">
        <v>59</v>
      </c>
      <c r="F37" s="17" t="s">
        <v>60</v>
      </c>
      <c r="G37" s="18">
        <f t="shared" si="0"/>
        <v>30134.735000000004</v>
      </c>
      <c r="H37" s="21">
        <v>0</v>
      </c>
      <c r="I37" s="21">
        <f>46750.703-I42</f>
        <v>8684.7550000000047</v>
      </c>
      <c r="J37" s="21">
        <v>13236.727000000001</v>
      </c>
      <c r="K37" s="21">
        <v>8213.2530000000006</v>
      </c>
      <c r="L37" s="13"/>
      <c r="M37" s="19"/>
      <c r="P37" s="91"/>
    </row>
    <row r="38" spans="3:16" s="14" customFormat="1" ht="12.75" x14ac:dyDescent="0.2">
      <c r="C38" s="12"/>
      <c r="D38" s="15" t="s">
        <v>61</v>
      </c>
      <c r="E38" s="42" t="s">
        <v>62</v>
      </c>
      <c r="F38" s="17" t="s">
        <v>63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64</v>
      </c>
      <c r="E39" s="43" t="s">
        <v>56</v>
      </c>
      <c r="F39" s="17" t="s">
        <v>65</v>
      </c>
      <c r="G39" s="18">
        <f t="shared" si="0"/>
        <v>0</v>
      </c>
      <c r="H39" s="21"/>
      <c r="I39" s="21"/>
      <c r="J39" s="21"/>
      <c r="K39" s="21"/>
      <c r="L39" s="13"/>
      <c r="M39" s="19"/>
      <c r="P39" s="91"/>
    </row>
    <row r="40" spans="3:16" s="14" customFormat="1" ht="12.75" x14ac:dyDescent="0.2">
      <c r="C40" s="12"/>
      <c r="D40" s="15" t="s">
        <v>66</v>
      </c>
      <c r="E40" s="20" t="s">
        <v>67</v>
      </c>
      <c r="F40" s="17" t="s">
        <v>68</v>
      </c>
      <c r="G40" s="18">
        <f t="shared" si="0"/>
        <v>38065.947999999997</v>
      </c>
      <c r="H40" s="18">
        <f>SUM(H41:H43)</f>
        <v>0</v>
      </c>
      <c r="I40" s="18">
        <f>SUM(I41:I43)</f>
        <v>38065.947999999997</v>
      </c>
      <c r="J40" s="18">
        <f>SUM(J41:J43)</f>
        <v>0</v>
      </c>
      <c r="K40" s="18">
        <f>SUM(K41:K43)</f>
        <v>0</v>
      </c>
      <c r="L40" s="13"/>
      <c r="M40" s="19"/>
      <c r="P40" s="91"/>
    </row>
    <row r="41" spans="3:16" s="14" customFormat="1" ht="12.75" x14ac:dyDescent="0.2">
      <c r="C41" s="12"/>
      <c r="D41" s="22" t="s">
        <v>69</v>
      </c>
      <c r="E41" s="23"/>
      <c r="F41" s="24" t="s">
        <v>68</v>
      </c>
      <c r="G41" s="25"/>
      <c r="H41" s="25"/>
      <c r="I41" s="25"/>
      <c r="J41" s="25"/>
      <c r="K41" s="25"/>
      <c r="L41" s="13"/>
      <c r="M41" s="19"/>
      <c r="P41" s="91"/>
    </row>
    <row r="42" spans="3:16" s="14" customFormat="1" ht="15" x14ac:dyDescent="0.25">
      <c r="C42" s="30" t="s">
        <v>29</v>
      </c>
      <c r="D42" s="31" t="s">
        <v>70</v>
      </c>
      <c r="E42" s="32" t="s">
        <v>71</v>
      </c>
      <c r="F42" s="33">
        <v>751</v>
      </c>
      <c r="G42" s="34">
        <f>SUM(H42:K42)</f>
        <v>38065.947999999997</v>
      </c>
      <c r="H42" s="35"/>
      <c r="I42" s="35">
        <v>38065.947999999997</v>
      </c>
      <c r="J42" s="35"/>
      <c r="K42" s="36"/>
      <c r="L42" s="13"/>
      <c r="M42" s="37" t="s">
        <v>72</v>
      </c>
      <c r="N42" s="38" t="s">
        <v>73</v>
      </c>
      <c r="O42" s="38" t="s">
        <v>337</v>
      </c>
    </row>
    <row r="43" spans="3:16" s="14" customFormat="1" ht="12.75" x14ac:dyDescent="0.2">
      <c r="C43" s="12"/>
      <c r="D43" s="44"/>
      <c r="E43" s="27" t="s">
        <v>20</v>
      </c>
      <c r="F43" s="28"/>
      <c r="G43" s="28"/>
      <c r="H43" s="28"/>
      <c r="I43" s="28"/>
      <c r="J43" s="28"/>
      <c r="K43" s="29"/>
      <c r="L43" s="13"/>
      <c r="M43" s="19"/>
      <c r="P43" s="91"/>
    </row>
    <row r="44" spans="3:16" s="14" customFormat="1" ht="12.75" x14ac:dyDescent="0.2">
      <c r="C44" s="12"/>
      <c r="D44" s="15" t="s">
        <v>74</v>
      </c>
      <c r="E44" s="45" t="s">
        <v>75</v>
      </c>
      <c r="F44" s="17" t="s">
        <v>76</v>
      </c>
      <c r="G44" s="18">
        <f t="shared" si="0"/>
        <v>0</v>
      </c>
      <c r="H44" s="21"/>
      <c r="I44" s="21"/>
      <c r="J44" s="21"/>
      <c r="K44" s="21"/>
      <c r="L44" s="13"/>
      <c r="M44" s="19"/>
      <c r="P44" s="91">
        <v>120</v>
      </c>
    </row>
    <row r="45" spans="3:16" s="14" customFormat="1" ht="12.75" x14ac:dyDescent="0.2">
      <c r="C45" s="12"/>
      <c r="D45" s="15" t="s">
        <v>77</v>
      </c>
      <c r="E45" s="16" t="s">
        <v>78</v>
      </c>
      <c r="F45" s="17" t="s">
        <v>79</v>
      </c>
      <c r="G45" s="18">
        <f t="shared" si="0"/>
        <v>28362.631000000008</v>
      </c>
      <c r="H45" s="21">
        <f>H26-H48</f>
        <v>8801.8739999999998</v>
      </c>
      <c r="I45" s="21">
        <f>I15-I34-I48</f>
        <v>10818.405000000001</v>
      </c>
      <c r="J45" s="21">
        <f>J24+J28+J17-J34-J48</f>
        <v>8742.3520000000026</v>
      </c>
      <c r="K45" s="21">
        <f>K31-K34-K48</f>
        <v>3.751665644813329E-12</v>
      </c>
      <c r="L45" s="13"/>
      <c r="M45" s="19"/>
      <c r="P45" s="91">
        <v>150</v>
      </c>
    </row>
    <row r="46" spans="3:16" s="14" customFormat="1" ht="12.75" x14ac:dyDescent="0.2">
      <c r="C46" s="12"/>
      <c r="D46" s="15" t="s">
        <v>80</v>
      </c>
      <c r="E46" s="16" t="s">
        <v>81</v>
      </c>
      <c r="F46" s="17" t="s">
        <v>82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160</v>
      </c>
    </row>
    <row r="47" spans="3:16" s="14" customFormat="1" ht="12.75" x14ac:dyDescent="0.2">
      <c r="C47" s="12"/>
      <c r="D47" s="15" t="s">
        <v>83</v>
      </c>
      <c r="E47" s="16" t="s">
        <v>84</v>
      </c>
      <c r="F47" s="17" t="s">
        <v>85</v>
      </c>
      <c r="G47" s="18">
        <f t="shared" si="0"/>
        <v>0</v>
      </c>
      <c r="H47" s="21"/>
      <c r="I47" s="21"/>
      <c r="J47" s="21"/>
      <c r="K47" s="21"/>
      <c r="L47" s="13"/>
      <c r="M47" s="19"/>
      <c r="P47" s="91">
        <v>180</v>
      </c>
    </row>
    <row r="48" spans="3:16" s="14" customFormat="1" ht="12.75" x14ac:dyDescent="0.2">
      <c r="C48" s="12"/>
      <c r="D48" s="15" t="s">
        <v>86</v>
      </c>
      <c r="E48" s="16" t="s">
        <v>87</v>
      </c>
      <c r="F48" s="17" t="s">
        <v>88</v>
      </c>
      <c r="G48" s="18">
        <f t="shared" si="0"/>
        <v>1686.357</v>
      </c>
      <c r="H48" s="21">
        <v>326.00700000000001</v>
      </c>
      <c r="I48" s="21">
        <v>425.29199999999997</v>
      </c>
      <c r="J48" s="21">
        <v>405.959</v>
      </c>
      <c r="K48" s="21">
        <v>529.09900000000005</v>
      </c>
      <c r="L48" s="13"/>
      <c r="M48" s="19"/>
      <c r="P48" s="91">
        <v>190</v>
      </c>
    </row>
    <row r="49" spans="3:16" s="14" customFormat="1" ht="12.75" x14ac:dyDescent="0.2">
      <c r="C49" s="12"/>
      <c r="D49" s="15" t="s">
        <v>89</v>
      </c>
      <c r="E49" s="20" t="s">
        <v>90</v>
      </c>
      <c r="F49" s="17" t="s">
        <v>91</v>
      </c>
      <c r="G49" s="18">
        <f t="shared" si="0"/>
        <v>0</v>
      </c>
      <c r="H49" s="21"/>
      <c r="I49" s="21"/>
      <c r="J49" s="21"/>
      <c r="K49" s="21"/>
      <c r="L49" s="13"/>
      <c r="M49" s="19"/>
      <c r="P49" s="91">
        <v>200</v>
      </c>
    </row>
    <row r="50" spans="3:16" s="14" customFormat="1" ht="22.5" x14ac:dyDescent="0.2">
      <c r="C50" s="12"/>
      <c r="D50" s="15" t="s">
        <v>92</v>
      </c>
      <c r="E50" s="16" t="s">
        <v>93</v>
      </c>
      <c r="F50" s="17" t="s">
        <v>94</v>
      </c>
      <c r="G50" s="18">
        <f t="shared" si="0"/>
        <v>1799</v>
      </c>
      <c r="H50" s="21"/>
      <c r="I50" s="21">
        <f>1799*0.2468</f>
        <v>443.9932</v>
      </c>
      <c r="J50" s="21">
        <f>1799*0.3293</f>
        <v>592.41070000000002</v>
      </c>
      <c r="K50" s="21">
        <f>1799*0.4239</f>
        <v>762.59609999999998</v>
      </c>
      <c r="L50" s="13"/>
      <c r="M50" s="19"/>
      <c r="P50" s="92"/>
    </row>
    <row r="51" spans="3:16" s="14" customFormat="1" ht="33.75" x14ac:dyDescent="0.2">
      <c r="C51" s="12"/>
      <c r="D51" s="15" t="s">
        <v>95</v>
      </c>
      <c r="E51" s="40" t="s">
        <v>96</v>
      </c>
      <c r="F51" s="17" t="s">
        <v>97</v>
      </c>
      <c r="G51" s="18">
        <f t="shared" si="0"/>
        <v>-112.64299999999997</v>
      </c>
      <c r="H51" s="18">
        <f>H48-H50</f>
        <v>326.00700000000001</v>
      </c>
      <c r="I51" s="18">
        <f>I48-I50</f>
        <v>-18.701200000000028</v>
      </c>
      <c r="J51" s="18">
        <f>J48-J50</f>
        <v>-186.45170000000002</v>
      </c>
      <c r="K51" s="18">
        <f>K48-K50</f>
        <v>-233.49709999999993</v>
      </c>
      <c r="L51" s="13"/>
      <c r="M51" s="19"/>
      <c r="P51" s="92"/>
    </row>
    <row r="52" spans="3:16" s="14" customFormat="1" ht="12.75" x14ac:dyDescent="0.2">
      <c r="C52" s="12"/>
      <c r="D52" s="15" t="s">
        <v>98</v>
      </c>
      <c r="E52" s="16" t="s">
        <v>99</v>
      </c>
      <c r="F52" s="17" t="s">
        <v>100</v>
      </c>
      <c r="G52" s="18">
        <f t="shared" si="0"/>
        <v>0</v>
      </c>
      <c r="H52" s="18">
        <f>(H15+H28+H33)-(H34+H45+H46+H47+H48)</f>
        <v>0</v>
      </c>
      <c r="I52" s="18">
        <f>(I15+I28+I33)-(I34+I45+I46+I47+I48)</f>
        <v>0</v>
      </c>
      <c r="J52" s="18">
        <f>(J15+J28+J33)-(J34+J45+J46+J47+J48)</f>
        <v>0</v>
      </c>
      <c r="K52" s="18">
        <f>(K15+K28+K33)-(K34+K45+K46+K47+K48)</f>
        <v>0</v>
      </c>
      <c r="L52" s="13"/>
      <c r="M52" s="19"/>
      <c r="P52" s="91">
        <v>210</v>
      </c>
    </row>
    <row r="53" spans="3:16" s="14" customFormat="1" ht="12.75" x14ac:dyDescent="0.2">
      <c r="C53" s="12"/>
      <c r="D53" s="111" t="s">
        <v>101</v>
      </c>
      <c r="E53" s="112"/>
      <c r="F53" s="112"/>
      <c r="G53" s="112"/>
      <c r="H53" s="112"/>
      <c r="I53" s="112"/>
      <c r="J53" s="112"/>
      <c r="K53" s="113"/>
      <c r="L53" s="13"/>
      <c r="M53" s="19"/>
      <c r="P53" s="92"/>
    </row>
    <row r="54" spans="3:16" s="14" customFormat="1" ht="12.75" x14ac:dyDescent="0.2">
      <c r="C54" s="12"/>
      <c r="D54" s="15" t="s">
        <v>102</v>
      </c>
      <c r="E54" s="16" t="s">
        <v>13</v>
      </c>
      <c r="F54" s="17" t="s">
        <v>103</v>
      </c>
      <c r="G54" s="18">
        <f t="shared" si="0"/>
        <v>7.9561748633879779</v>
      </c>
      <c r="H54" s="18">
        <f>H55+H56+H60+H63</f>
        <v>1.0391485655737704</v>
      </c>
      <c r="I54" s="18">
        <f>I55+I56+I60+I63</f>
        <v>6.6022768670309659</v>
      </c>
      <c r="J54" s="18">
        <f>J55+J56+J60+J63</f>
        <v>0.3147494307832423</v>
      </c>
      <c r="K54" s="18">
        <f>K55+K56+K60+K63</f>
        <v>0</v>
      </c>
      <c r="L54" s="13"/>
      <c r="M54" s="19"/>
      <c r="P54" s="91">
        <v>300</v>
      </c>
    </row>
    <row r="55" spans="3:16" s="14" customFormat="1" ht="12.75" x14ac:dyDescent="0.2">
      <c r="C55" s="12"/>
      <c r="D55" s="15" t="s">
        <v>104</v>
      </c>
      <c r="E55" s="20" t="s">
        <v>15</v>
      </c>
      <c r="F55" s="17" t="s">
        <v>105</v>
      </c>
      <c r="G55" s="18">
        <f t="shared" si="0"/>
        <v>0</v>
      </c>
      <c r="H55" s="21"/>
      <c r="I55" s="21"/>
      <c r="J55" s="21"/>
      <c r="K55" s="21"/>
      <c r="L55" s="13"/>
      <c r="M55" s="19"/>
      <c r="P55" s="91">
        <v>310</v>
      </c>
    </row>
    <row r="56" spans="3:16" s="14" customFormat="1" ht="12.75" x14ac:dyDescent="0.2">
      <c r="C56" s="12"/>
      <c r="D56" s="15" t="s">
        <v>106</v>
      </c>
      <c r="E56" s="20" t="s">
        <v>17</v>
      </c>
      <c r="F56" s="17" t="s">
        <v>107</v>
      </c>
      <c r="G56" s="18">
        <f t="shared" si="0"/>
        <v>6.062158469945355E-4</v>
      </c>
      <c r="H56" s="18">
        <f>SUM(H57:H59)</f>
        <v>0</v>
      </c>
      <c r="I56" s="18">
        <f>SUM(I57:I59)</f>
        <v>0</v>
      </c>
      <c r="J56" s="18">
        <f>SUM(J57:J59)</f>
        <v>6.062158469945355E-4</v>
      </c>
      <c r="K56" s="18">
        <f>SUM(K57:K59)</f>
        <v>0</v>
      </c>
      <c r="L56" s="13"/>
      <c r="M56" s="19"/>
      <c r="P56" s="91">
        <v>320</v>
      </c>
    </row>
    <row r="57" spans="3:16" s="14" customFormat="1" ht="12.75" x14ac:dyDescent="0.2">
      <c r="C57" s="12"/>
      <c r="D57" s="22" t="s">
        <v>108</v>
      </c>
      <c r="E57" s="23"/>
      <c r="F57" s="24" t="s">
        <v>107</v>
      </c>
      <c r="G57" s="25"/>
      <c r="H57" s="25"/>
      <c r="I57" s="25"/>
      <c r="J57" s="25"/>
      <c r="K57" s="25"/>
      <c r="L57" s="13"/>
      <c r="M57" s="19"/>
      <c r="P57" s="91"/>
    </row>
    <row r="58" spans="3:16" s="14" customFormat="1" ht="15" x14ac:dyDescent="0.25">
      <c r="C58" s="30" t="s">
        <v>29</v>
      </c>
      <c r="D58" s="31" t="s">
        <v>345</v>
      </c>
      <c r="E58" s="32" t="s">
        <v>341</v>
      </c>
      <c r="F58" s="33">
        <v>1061</v>
      </c>
      <c r="G58" s="34">
        <f>SUM(H58:K58)</f>
        <v>6.062158469945355E-4</v>
      </c>
      <c r="H58" s="35"/>
      <c r="I58" s="35"/>
      <c r="J58" s="35">
        <f>J19/8784</f>
        <v>6.062158469945355E-4</v>
      </c>
      <c r="K58" s="36"/>
      <c r="L58" s="13"/>
      <c r="M58" s="37" t="s">
        <v>342</v>
      </c>
      <c r="N58" s="38" t="s">
        <v>343</v>
      </c>
      <c r="O58" s="38" t="s">
        <v>344</v>
      </c>
    </row>
    <row r="59" spans="3:16" s="14" customFormat="1" ht="12.75" x14ac:dyDescent="0.2">
      <c r="C59" s="12"/>
      <c r="D59" s="26"/>
      <c r="E59" s="27" t="s">
        <v>20</v>
      </c>
      <c r="F59" s="28"/>
      <c r="G59" s="28"/>
      <c r="H59" s="28"/>
      <c r="I59" s="28"/>
      <c r="J59" s="28"/>
      <c r="K59" s="29"/>
      <c r="L59" s="13"/>
      <c r="M59" s="19"/>
      <c r="P59" s="91"/>
    </row>
    <row r="60" spans="3:16" s="14" customFormat="1" ht="12.75" x14ac:dyDescent="0.2">
      <c r="C60" s="12"/>
      <c r="D60" s="15" t="s">
        <v>109</v>
      </c>
      <c r="E60" s="20" t="s">
        <v>22</v>
      </c>
      <c r="F60" s="17" t="s">
        <v>110</v>
      </c>
      <c r="G60" s="18">
        <f t="shared" si="0"/>
        <v>0</v>
      </c>
      <c r="H60" s="18">
        <f>SUM(H61:H62)</f>
        <v>0</v>
      </c>
      <c r="I60" s="18">
        <f>SUM(I61:I62)</f>
        <v>0</v>
      </c>
      <c r="J60" s="18">
        <f>SUM(J61:J62)</f>
        <v>0</v>
      </c>
      <c r="K60" s="18">
        <f>SUM(K61:K62)</f>
        <v>0</v>
      </c>
      <c r="L60" s="13"/>
      <c r="M60" s="19"/>
      <c r="P60" s="91"/>
    </row>
    <row r="61" spans="3:16" s="14" customFormat="1" ht="12.75" x14ac:dyDescent="0.2">
      <c r="C61" s="12"/>
      <c r="D61" s="22" t="s">
        <v>111</v>
      </c>
      <c r="E61" s="23"/>
      <c r="F61" s="24" t="s">
        <v>110</v>
      </c>
      <c r="G61" s="25"/>
      <c r="H61" s="25"/>
      <c r="I61" s="25"/>
      <c r="J61" s="25"/>
      <c r="K61" s="25"/>
      <c r="L61" s="13"/>
      <c r="M61" s="19"/>
      <c r="P61" s="91"/>
    </row>
    <row r="62" spans="3:16" s="14" customFormat="1" ht="12.75" x14ac:dyDescent="0.2">
      <c r="C62" s="12"/>
      <c r="D62" s="26"/>
      <c r="E62" s="27" t="s">
        <v>20</v>
      </c>
      <c r="F62" s="28"/>
      <c r="G62" s="28"/>
      <c r="H62" s="28"/>
      <c r="I62" s="28"/>
      <c r="J62" s="28"/>
      <c r="K62" s="29"/>
      <c r="L62" s="13"/>
      <c r="M62" s="19"/>
      <c r="P62" s="91"/>
    </row>
    <row r="63" spans="3:16" s="14" customFormat="1" ht="12.75" x14ac:dyDescent="0.2">
      <c r="C63" s="12"/>
      <c r="D63" s="15" t="s">
        <v>112</v>
      </c>
      <c r="E63" s="20" t="s">
        <v>26</v>
      </c>
      <c r="F63" s="17" t="s">
        <v>113</v>
      </c>
      <c r="G63" s="18">
        <f t="shared" si="0"/>
        <v>7.9555686475409839</v>
      </c>
      <c r="H63" s="18">
        <f>SUM(H64:H66)</f>
        <v>1.0391485655737704</v>
      </c>
      <c r="I63" s="18">
        <f>SUM(I64:I66)</f>
        <v>6.6022768670309659</v>
      </c>
      <c r="J63" s="18">
        <f>SUM(J64:J66)</f>
        <v>0.31414321493624775</v>
      </c>
      <c r="K63" s="18">
        <f>SUM(K64:K66)</f>
        <v>0</v>
      </c>
      <c r="L63" s="13"/>
      <c r="M63" s="19"/>
      <c r="P63" s="91">
        <v>330</v>
      </c>
    </row>
    <row r="64" spans="3:16" s="14" customFormat="1" ht="12.75" x14ac:dyDescent="0.2">
      <c r="C64" s="12"/>
      <c r="D64" s="22" t="s">
        <v>114</v>
      </c>
      <c r="E64" s="23"/>
      <c r="F64" s="24" t="s">
        <v>113</v>
      </c>
      <c r="G64" s="25"/>
      <c r="H64" s="25"/>
      <c r="I64" s="25"/>
      <c r="J64" s="25"/>
      <c r="K64" s="25"/>
      <c r="L64" s="13"/>
      <c r="M64" s="19"/>
      <c r="P64" s="91"/>
    </row>
    <row r="65" spans="3:16" s="14" customFormat="1" ht="15" x14ac:dyDescent="0.25">
      <c r="C65" s="30" t="s">
        <v>29</v>
      </c>
      <c r="D65" s="31" t="s">
        <v>115</v>
      </c>
      <c r="E65" s="32" t="s">
        <v>31</v>
      </c>
      <c r="F65" s="33">
        <v>1461</v>
      </c>
      <c r="G65" s="34">
        <f>SUM(H65:K65)</f>
        <v>7.9555686475409839</v>
      </c>
      <c r="H65" s="35">
        <f>H26/8784</f>
        <v>1.0391485655737704</v>
      </c>
      <c r="I65" s="35">
        <f>I26/8784</f>
        <v>6.6022768670309659</v>
      </c>
      <c r="J65" s="35">
        <f>J26/8784</f>
        <v>0.31414321493624775</v>
      </c>
      <c r="K65" s="35"/>
      <c r="L65" s="13"/>
      <c r="M65" s="37" t="s">
        <v>32</v>
      </c>
      <c r="N65" s="38" t="s">
        <v>33</v>
      </c>
      <c r="O65" s="38" t="s">
        <v>336</v>
      </c>
    </row>
    <row r="66" spans="3:16" s="14" customFormat="1" ht="12.75" x14ac:dyDescent="0.2">
      <c r="C66" s="12"/>
      <c r="D66" s="26"/>
      <c r="E66" s="27" t="s">
        <v>20</v>
      </c>
      <c r="F66" s="28"/>
      <c r="G66" s="28"/>
      <c r="H66" s="28"/>
      <c r="I66" s="28"/>
      <c r="J66" s="28"/>
      <c r="K66" s="29"/>
      <c r="L66" s="13"/>
      <c r="M66" s="19"/>
      <c r="P66" s="91"/>
    </row>
    <row r="67" spans="3:16" s="14" customFormat="1" ht="12.75" x14ac:dyDescent="0.2">
      <c r="C67" s="12"/>
      <c r="D67" s="15" t="s">
        <v>116</v>
      </c>
      <c r="E67" s="16" t="s">
        <v>35</v>
      </c>
      <c r="F67" s="17" t="s">
        <v>117</v>
      </c>
      <c r="G67" s="18">
        <f t="shared" si="0"/>
        <v>3.2288969717668499</v>
      </c>
      <c r="H67" s="18">
        <f>H69+H70+H71</f>
        <v>0</v>
      </c>
      <c r="I67" s="18">
        <f>I68+I70+I71</f>
        <v>0</v>
      </c>
      <c r="J67" s="18">
        <f>J68+J69+J71</f>
        <v>2.2336383196721314</v>
      </c>
      <c r="K67" s="18">
        <f>K68+K69+K70</f>
        <v>0.9952586520947182</v>
      </c>
      <c r="L67" s="13"/>
      <c r="M67" s="19"/>
      <c r="P67" s="91">
        <v>340</v>
      </c>
    </row>
    <row r="68" spans="3:16" s="14" customFormat="1" ht="12.75" x14ac:dyDescent="0.2">
      <c r="C68" s="12"/>
      <c r="D68" s="15" t="s">
        <v>118</v>
      </c>
      <c r="E68" s="20" t="s">
        <v>7</v>
      </c>
      <c r="F68" s="17" t="s">
        <v>119</v>
      </c>
      <c r="G68" s="18">
        <f t="shared" si="0"/>
        <v>1.0020348360655738</v>
      </c>
      <c r="H68" s="39"/>
      <c r="I68" s="21"/>
      <c r="J68" s="21">
        <f>J29/8784</f>
        <v>1.0020348360655738</v>
      </c>
      <c r="K68" s="21"/>
      <c r="L68" s="13"/>
      <c r="M68" s="19"/>
      <c r="P68" s="91">
        <v>350</v>
      </c>
    </row>
    <row r="69" spans="3:16" s="14" customFormat="1" ht="12.75" x14ac:dyDescent="0.2">
      <c r="C69" s="12"/>
      <c r="D69" s="15" t="s">
        <v>120</v>
      </c>
      <c r="E69" s="20" t="s">
        <v>8</v>
      </c>
      <c r="F69" s="17" t="s">
        <v>121</v>
      </c>
      <c r="G69" s="18">
        <f t="shared" si="0"/>
        <v>1.2316034836065575</v>
      </c>
      <c r="H69" s="21"/>
      <c r="I69" s="46"/>
      <c r="J69" s="21">
        <f>J30/8784</f>
        <v>1.2316034836065575</v>
      </c>
      <c r="K69" s="21"/>
      <c r="L69" s="13"/>
      <c r="M69" s="19"/>
      <c r="P69" s="91">
        <v>360</v>
      </c>
    </row>
    <row r="70" spans="3:16" s="14" customFormat="1" ht="12.75" x14ac:dyDescent="0.2">
      <c r="C70" s="12"/>
      <c r="D70" s="15" t="s">
        <v>122</v>
      </c>
      <c r="E70" s="20" t="s">
        <v>9</v>
      </c>
      <c r="F70" s="17" t="s">
        <v>123</v>
      </c>
      <c r="G70" s="18">
        <f t="shared" si="0"/>
        <v>0.9952586520947182</v>
      </c>
      <c r="H70" s="21"/>
      <c r="I70" s="21"/>
      <c r="J70" s="39"/>
      <c r="K70" s="21">
        <f>K31/8784</f>
        <v>0.9952586520947182</v>
      </c>
      <c r="L70" s="13"/>
      <c r="M70" s="19"/>
      <c r="P70" s="91">
        <v>370</v>
      </c>
    </row>
    <row r="71" spans="3:16" s="14" customFormat="1" ht="12.75" x14ac:dyDescent="0.2">
      <c r="C71" s="12"/>
      <c r="D71" s="15" t="s">
        <v>124</v>
      </c>
      <c r="E71" s="20" t="s">
        <v>44</v>
      </c>
      <c r="F71" s="17" t="s">
        <v>125</v>
      </c>
      <c r="G71" s="18">
        <f t="shared" si="0"/>
        <v>0</v>
      </c>
      <c r="H71" s="21"/>
      <c r="I71" s="21"/>
      <c r="J71" s="21"/>
      <c r="K71" s="39"/>
      <c r="L71" s="13"/>
      <c r="M71" s="19"/>
      <c r="P71" s="91">
        <v>380</v>
      </c>
    </row>
    <row r="72" spans="3:16" s="14" customFormat="1" ht="12.75" x14ac:dyDescent="0.2">
      <c r="C72" s="12"/>
      <c r="D72" s="15" t="s">
        <v>126</v>
      </c>
      <c r="E72" s="40" t="s">
        <v>47</v>
      </c>
      <c r="F72" s="17" t="s">
        <v>127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128</v>
      </c>
      <c r="E73" s="16" t="s">
        <v>50</v>
      </c>
      <c r="F73" s="41" t="s">
        <v>129</v>
      </c>
      <c r="G73" s="18">
        <f t="shared" si="0"/>
        <v>7.764194330601093</v>
      </c>
      <c r="H73" s="18">
        <f>H74+H76+H79+H83</f>
        <v>0</v>
      </c>
      <c r="I73" s="18">
        <f>I74+I76+I79+I83</f>
        <v>5.3222567167577415</v>
      </c>
      <c r="J73" s="18">
        <f>J74+J76+J79+J83</f>
        <v>1.5069133652094719</v>
      </c>
      <c r="K73" s="18">
        <f>K74+K76+K79+K83</f>
        <v>0.9350242486338799</v>
      </c>
      <c r="L73" s="13"/>
      <c r="M73" s="19"/>
      <c r="P73" s="91">
        <v>390</v>
      </c>
    </row>
    <row r="74" spans="3:16" s="14" customFormat="1" ht="22.5" x14ac:dyDescent="0.2">
      <c r="C74" s="12"/>
      <c r="D74" s="15" t="s">
        <v>130</v>
      </c>
      <c r="E74" s="20" t="s">
        <v>53</v>
      </c>
      <c r="F74" s="17" t="s">
        <v>131</v>
      </c>
      <c r="G74" s="18">
        <f t="shared" si="0"/>
        <v>0</v>
      </c>
      <c r="H74" s="21"/>
      <c r="I74" s="21"/>
      <c r="J74" s="21"/>
      <c r="K74" s="21"/>
      <c r="L74" s="13"/>
      <c r="M74" s="19"/>
      <c r="P74" s="91"/>
    </row>
    <row r="75" spans="3:16" s="14" customFormat="1" ht="12.75" x14ac:dyDescent="0.2">
      <c r="C75" s="12"/>
      <c r="D75" s="15" t="s">
        <v>132</v>
      </c>
      <c r="E75" s="42" t="s">
        <v>56</v>
      </c>
      <c r="F75" s="17" t="s">
        <v>133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134</v>
      </c>
      <c r="E76" s="20" t="s">
        <v>59</v>
      </c>
      <c r="F76" s="17" t="s">
        <v>135</v>
      </c>
      <c r="G76" s="18">
        <f t="shared" si="0"/>
        <v>3.4306392304189446</v>
      </c>
      <c r="H76" s="21"/>
      <c r="I76" s="21">
        <f>I37/8784</f>
        <v>0.98870161657559252</v>
      </c>
      <c r="J76" s="21">
        <f>J37/8784</f>
        <v>1.5069133652094719</v>
      </c>
      <c r="K76" s="21">
        <f>K37/8784</f>
        <v>0.9350242486338799</v>
      </c>
      <c r="L76" s="13"/>
      <c r="M76" s="19"/>
      <c r="P76" s="91"/>
    </row>
    <row r="77" spans="3:16" s="14" customFormat="1" ht="12.75" x14ac:dyDescent="0.2">
      <c r="C77" s="12"/>
      <c r="D77" s="15" t="s">
        <v>136</v>
      </c>
      <c r="E77" s="42" t="s">
        <v>62</v>
      </c>
      <c r="F77" s="17" t="s">
        <v>137</v>
      </c>
      <c r="G77" s="18">
        <f t="shared" si="0"/>
        <v>0</v>
      </c>
      <c r="H77" s="21"/>
      <c r="I77" s="21"/>
      <c r="J77" s="21"/>
      <c r="K77" s="21"/>
      <c r="L77" s="13"/>
      <c r="M77" s="19"/>
      <c r="P77" s="91"/>
    </row>
    <row r="78" spans="3:16" s="14" customFormat="1" ht="12.75" x14ac:dyDescent="0.2">
      <c r="C78" s="12"/>
      <c r="D78" s="15" t="s">
        <v>138</v>
      </c>
      <c r="E78" s="43" t="s">
        <v>56</v>
      </c>
      <c r="F78" s="17" t="s">
        <v>139</v>
      </c>
      <c r="G78" s="18">
        <f t="shared" si="0"/>
        <v>0</v>
      </c>
      <c r="H78" s="21"/>
      <c r="I78" s="21"/>
      <c r="J78" s="21"/>
      <c r="K78" s="21"/>
      <c r="L78" s="13"/>
      <c r="M78" s="19"/>
      <c r="P78" s="91"/>
    </row>
    <row r="79" spans="3:16" s="14" customFormat="1" ht="12.75" x14ac:dyDescent="0.2">
      <c r="C79" s="12"/>
      <c r="D79" s="15" t="s">
        <v>140</v>
      </c>
      <c r="E79" s="20" t="s">
        <v>67</v>
      </c>
      <c r="F79" s="17" t="s">
        <v>141</v>
      </c>
      <c r="G79" s="18">
        <f t="shared" si="0"/>
        <v>4.3335551001821493</v>
      </c>
      <c r="H79" s="18">
        <f>SUM(H80:H82)</f>
        <v>0</v>
      </c>
      <c r="I79" s="18">
        <f>SUM(I80:I82)</f>
        <v>4.3335551001821493</v>
      </c>
      <c r="J79" s="18">
        <f>SUM(J80:J82)</f>
        <v>0</v>
      </c>
      <c r="K79" s="18">
        <f>SUM(K80:K82)</f>
        <v>0</v>
      </c>
      <c r="L79" s="13"/>
      <c r="M79" s="19"/>
      <c r="P79" s="91"/>
    </row>
    <row r="80" spans="3:16" s="14" customFormat="1" ht="12.75" x14ac:dyDescent="0.2">
      <c r="C80" s="12"/>
      <c r="D80" s="22" t="s">
        <v>142</v>
      </c>
      <c r="E80" s="23"/>
      <c r="F80" s="24" t="s">
        <v>141</v>
      </c>
      <c r="G80" s="25"/>
      <c r="H80" s="25"/>
      <c r="I80" s="25"/>
      <c r="J80" s="25"/>
      <c r="K80" s="25"/>
      <c r="L80" s="13"/>
      <c r="M80" s="19"/>
      <c r="P80" s="91"/>
    </row>
    <row r="81" spans="3:16" s="14" customFormat="1" ht="15" x14ac:dyDescent="0.25">
      <c r="C81" s="30" t="s">
        <v>29</v>
      </c>
      <c r="D81" s="31" t="s">
        <v>143</v>
      </c>
      <c r="E81" s="32" t="s">
        <v>71</v>
      </c>
      <c r="F81" s="33">
        <v>1781</v>
      </c>
      <c r="G81" s="34">
        <f>SUM(H81:K81)</f>
        <v>4.3335551001821493</v>
      </c>
      <c r="H81" s="35"/>
      <c r="I81" s="35">
        <f>I42/8784</f>
        <v>4.3335551001821493</v>
      </c>
      <c r="J81" s="35"/>
      <c r="K81" s="36"/>
      <c r="L81" s="13"/>
      <c r="M81" s="37" t="s">
        <v>72</v>
      </c>
      <c r="N81" s="38" t="s">
        <v>73</v>
      </c>
      <c r="O81" s="38" t="s">
        <v>337</v>
      </c>
    </row>
    <row r="82" spans="3:16" s="14" customFormat="1" ht="12.75" x14ac:dyDescent="0.2">
      <c r="C82" s="12"/>
      <c r="D82" s="26"/>
      <c r="E82" s="27" t="s">
        <v>20</v>
      </c>
      <c r="F82" s="28"/>
      <c r="G82" s="28"/>
      <c r="H82" s="28"/>
      <c r="I82" s="28"/>
      <c r="J82" s="28"/>
      <c r="K82" s="29"/>
      <c r="L82" s="13"/>
      <c r="M82" s="19"/>
      <c r="P82" s="91"/>
    </row>
    <row r="83" spans="3:16" s="14" customFormat="1" ht="12.75" x14ac:dyDescent="0.2">
      <c r="C83" s="12"/>
      <c r="D83" s="15" t="s">
        <v>144</v>
      </c>
      <c r="E83" s="45" t="s">
        <v>75</v>
      </c>
      <c r="F83" s="17" t="s">
        <v>145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410</v>
      </c>
    </row>
    <row r="84" spans="3:16" s="14" customFormat="1" ht="12.75" x14ac:dyDescent="0.2">
      <c r="C84" s="12"/>
      <c r="D84" s="15" t="s">
        <v>146</v>
      </c>
      <c r="E84" s="16" t="s">
        <v>78</v>
      </c>
      <c r="F84" s="17" t="s">
        <v>147</v>
      </c>
      <c r="G84" s="18">
        <f t="shared" si="0"/>
        <v>3.2288969717668499</v>
      </c>
      <c r="H84" s="21">
        <f>H45/8784</f>
        <v>1.0020348360655738</v>
      </c>
      <c r="I84" s="21">
        <f>I45/8784</f>
        <v>1.2316034836065575</v>
      </c>
      <c r="J84" s="21">
        <f>J45/8784</f>
        <v>0.99525865209471798</v>
      </c>
      <c r="K84" s="21">
        <f>K45/8784</f>
        <v>4.2710219089404927E-16</v>
      </c>
      <c r="L84" s="13"/>
      <c r="M84" s="19"/>
      <c r="P84" s="91">
        <v>440</v>
      </c>
    </row>
    <row r="85" spans="3:16" s="14" customFormat="1" ht="12.75" x14ac:dyDescent="0.2">
      <c r="C85" s="12"/>
      <c r="D85" s="15" t="s">
        <v>148</v>
      </c>
      <c r="E85" s="16" t="s">
        <v>81</v>
      </c>
      <c r="F85" s="17" t="s">
        <v>149</v>
      </c>
      <c r="G85" s="18">
        <f t="shared" si="0"/>
        <v>0</v>
      </c>
      <c r="H85" s="21"/>
      <c r="I85" s="21"/>
      <c r="J85" s="21"/>
      <c r="K85" s="21"/>
      <c r="L85" s="13"/>
      <c r="M85" s="19"/>
      <c r="P85" s="91">
        <v>450</v>
      </c>
    </row>
    <row r="86" spans="3:16" s="14" customFormat="1" ht="12.75" x14ac:dyDescent="0.2">
      <c r="C86" s="12"/>
      <c r="D86" s="15" t="s">
        <v>150</v>
      </c>
      <c r="E86" s="16" t="s">
        <v>84</v>
      </c>
      <c r="F86" s="17" t="s">
        <v>151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470</v>
      </c>
    </row>
    <row r="87" spans="3:16" s="14" customFormat="1" ht="12.75" x14ac:dyDescent="0.2">
      <c r="C87" s="12"/>
      <c r="D87" s="15" t="s">
        <v>152</v>
      </c>
      <c r="E87" s="16" t="s">
        <v>87</v>
      </c>
      <c r="F87" s="17" t="s">
        <v>153</v>
      </c>
      <c r="G87" s="18">
        <f t="shared" si="0"/>
        <v>0.19198053278688523</v>
      </c>
      <c r="H87" s="21">
        <f>H48/8784</f>
        <v>3.7113729508196719E-2</v>
      </c>
      <c r="I87" s="21">
        <f>I48/8784</f>
        <v>4.8416666666666663E-2</v>
      </c>
      <c r="J87" s="21">
        <f>J48/8784</f>
        <v>4.621573315118397E-2</v>
      </c>
      <c r="K87" s="21">
        <f>K48/8784</f>
        <v>6.0234403460837894E-2</v>
      </c>
      <c r="L87" s="13"/>
      <c r="M87" s="19"/>
      <c r="P87" s="91">
        <v>480</v>
      </c>
    </row>
    <row r="88" spans="3:16" s="14" customFormat="1" ht="12.75" x14ac:dyDescent="0.2">
      <c r="C88" s="12"/>
      <c r="D88" s="15" t="s">
        <v>154</v>
      </c>
      <c r="E88" s="20" t="s">
        <v>155</v>
      </c>
      <c r="F88" s="17" t="s">
        <v>156</v>
      </c>
      <c r="G88" s="18">
        <f t="shared" si="0"/>
        <v>0</v>
      </c>
      <c r="H88" s="21"/>
      <c r="I88" s="21"/>
      <c r="J88" s="21"/>
      <c r="K88" s="21"/>
      <c r="L88" s="13"/>
      <c r="M88" s="19"/>
      <c r="P88" s="91">
        <v>490</v>
      </c>
    </row>
    <row r="89" spans="3:16" s="14" customFormat="1" ht="22.5" x14ac:dyDescent="0.2">
      <c r="C89" s="12"/>
      <c r="D89" s="15" t="s">
        <v>157</v>
      </c>
      <c r="E89" s="16" t="s">
        <v>93</v>
      </c>
      <c r="F89" s="17" t="s">
        <v>158</v>
      </c>
      <c r="G89" s="18">
        <f t="shared" si="0"/>
        <v>0.20480418943533699</v>
      </c>
      <c r="H89" s="21"/>
      <c r="I89" s="21">
        <f>I50/8784</f>
        <v>5.0545673952641167E-2</v>
      </c>
      <c r="J89" s="21">
        <f>J50/8784</f>
        <v>6.7442019581056473E-2</v>
      </c>
      <c r="K89" s="21">
        <f>K50/8784</f>
        <v>8.681649590163934E-2</v>
      </c>
      <c r="L89" s="13"/>
      <c r="M89" s="19"/>
      <c r="P89" s="91"/>
    </row>
    <row r="90" spans="3:16" s="14" customFormat="1" ht="33.75" x14ac:dyDescent="0.2">
      <c r="C90" s="12"/>
      <c r="D90" s="15" t="s">
        <v>159</v>
      </c>
      <c r="E90" s="40" t="s">
        <v>96</v>
      </c>
      <c r="F90" s="17" t="s">
        <v>160</v>
      </c>
      <c r="G90" s="18">
        <f t="shared" si="0"/>
        <v>-1.2823656648451733E-2</v>
      </c>
      <c r="H90" s="18">
        <f>H87-H89</f>
        <v>3.7113729508196719E-2</v>
      </c>
      <c r="I90" s="18">
        <f>I87-I89</f>
        <v>-2.1290072859745032E-3</v>
      </c>
      <c r="J90" s="18">
        <f>J87-J89</f>
        <v>-2.1226286429872503E-2</v>
      </c>
      <c r="K90" s="18">
        <f>K87-K89</f>
        <v>-2.6582092440801446E-2</v>
      </c>
      <c r="L90" s="13"/>
      <c r="M90" s="19"/>
      <c r="P90" s="91"/>
    </row>
    <row r="91" spans="3:16" s="14" customFormat="1" ht="12.75" x14ac:dyDescent="0.2">
      <c r="C91" s="12"/>
      <c r="D91" s="15" t="s">
        <v>161</v>
      </c>
      <c r="E91" s="16" t="s">
        <v>99</v>
      </c>
      <c r="F91" s="17" t="s">
        <v>162</v>
      </c>
      <c r="G91" s="18">
        <f t="shared" si="0"/>
        <v>0</v>
      </c>
      <c r="H91" s="18">
        <f>(H54+H67+H72)-(H73+H84+H85+H86+H87)</f>
        <v>0</v>
      </c>
      <c r="I91" s="18">
        <f>(I54+I67+I72)-(I73+I84+I85+I86+I87)</f>
        <v>0</v>
      </c>
      <c r="J91" s="18">
        <f>(J54+J67+J72)-(J73+J84+J85+J86+J87)</f>
        <v>0</v>
      </c>
      <c r="K91" s="18">
        <f>(K54+K67+K72)-(K73+K84+K85+K86+K87)</f>
        <v>0</v>
      </c>
      <c r="L91" s="13"/>
      <c r="M91" s="19"/>
      <c r="P91" s="91">
        <v>500</v>
      </c>
    </row>
    <row r="92" spans="3:16" s="14" customFormat="1" ht="12.75" x14ac:dyDescent="0.2">
      <c r="C92" s="12"/>
      <c r="D92" s="111" t="s">
        <v>163</v>
      </c>
      <c r="E92" s="112"/>
      <c r="F92" s="112"/>
      <c r="G92" s="112"/>
      <c r="H92" s="112"/>
      <c r="I92" s="112"/>
      <c r="J92" s="112"/>
      <c r="K92" s="113"/>
      <c r="L92" s="13"/>
      <c r="M92" s="19"/>
      <c r="P92" s="92"/>
    </row>
    <row r="93" spans="3:16" s="14" customFormat="1" ht="12.75" x14ac:dyDescent="0.2">
      <c r="C93" s="12"/>
      <c r="D93" s="15" t="s">
        <v>164</v>
      </c>
      <c r="E93" s="16" t="s">
        <v>165</v>
      </c>
      <c r="F93" s="17" t="s">
        <v>166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600</v>
      </c>
    </row>
    <row r="94" spans="3:16" s="14" customFormat="1" ht="12.75" x14ac:dyDescent="0.2">
      <c r="C94" s="12"/>
      <c r="D94" s="15" t="s">
        <v>167</v>
      </c>
      <c r="E94" s="16" t="s">
        <v>168</v>
      </c>
      <c r="F94" s="17" t="s">
        <v>169</v>
      </c>
      <c r="G94" s="18">
        <f t="shared" si="0"/>
        <v>25.006</v>
      </c>
      <c r="H94" s="21"/>
      <c r="I94" s="21">
        <v>25.006</v>
      </c>
      <c r="J94" s="21"/>
      <c r="K94" s="21"/>
      <c r="L94" s="13"/>
      <c r="M94" s="19"/>
      <c r="P94" s="91">
        <v>610</v>
      </c>
    </row>
    <row r="95" spans="3:16" s="14" customFormat="1" ht="12.75" x14ac:dyDescent="0.2">
      <c r="C95" s="12"/>
      <c r="D95" s="15" t="s">
        <v>170</v>
      </c>
      <c r="E95" s="16" t="s">
        <v>171</v>
      </c>
      <c r="F95" s="17" t="s">
        <v>172</v>
      </c>
      <c r="G95" s="18">
        <f t="shared" si="0"/>
        <v>0</v>
      </c>
      <c r="H95" s="21"/>
      <c r="I95" s="21"/>
      <c r="J95" s="21"/>
      <c r="K95" s="21"/>
      <c r="L95" s="13"/>
      <c r="M95" s="19"/>
      <c r="P95" s="91">
        <v>620</v>
      </c>
    </row>
    <row r="96" spans="3:16" s="14" customFormat="1" ht="12.75" x14ac:dyDescent="0.2">
      <c r="C96" s="12"/>
      <c r="D96" s="111" t="s">
        <v>173</v>
      </c>
      <c r="E96" s="112"/>
      <c r="F96" s="112"/>
      <c r="G96" s="112"/>
      <c r="H96" s="112"/>
      <c r="I96" s="112"/>
      <c r="J96" s="112"/>
      <c r="K96" s="113"/>
      <c r="L96" s="13"/>
      <c r="M96" s="19"/>
      <c r="P96" s="92"/>
    </row>
    <row r="97" spans="3:16" s="14" customFormat="1" ht="12.75" x14ac:dyDescent="0.2">
      <c r="C97" s="12"/>
      <c r="D97" s="15" t="s">
        <v>174</v>
      </c>
      <c r="E97" s="16" t="s">
        <v>175</v>
      </c>
      <c r="F97" s="17" t="s">
        <v>176</v>
      </c>
      <c r="G97" s="18">
        <f t="shared" si="0"/>
        <v>0</v>
      </c>
      <c r="H97" s="18">
        <f>SUM(H98:H99)</f>
        <v>0</v>
      </c>
      <c r="I97" s="18">
        <f>SUM(I98:I99)</f>
        <v>0</v>
      </c>
      <c r="J97" s="18">
        <f>SUM(J98:J99)</f>
        <v>0</v>
      </c>
      <c r="K97" s="18">
        <f>SUM(K98:K99)</f>
        <v>0</v>
      </c>
      <c r="L97" s="13"/>
      <c r="M97" s="19"/>
      <c r="P97" s="91">
        <v>700</v>
      </c>
    </row>
    <row r="98" spans="3:16" ht="12.75" x14ac:dyDescent="0.2">
      <c r="C98" s="2"/>
      <c r="D98" s="47" t="s">
        <v>177</v>
      </c>
      <c r="E98" s="20" t="s">
        <v>178</v>
      </c>
      <c r="F98" s="17" t="s">
        <v>179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710</v>
      </c>
    </row>
    <row r="99" spans="3:16" ht="12.75" x14ac:dyDescent="0.2">
      <c r="C99" s="2"/>
      <c r="D99" s="47" t="s">
        <v>180</v>
      </c>
      <c r="E99" s="20" t="s">
        <v>181</v>
      </c>
      <c r="F99" s="17" t="s">
        <v>182</v>
      </c>
      <c r="G99" s="18">
        <f t="shared" si="0"/>
        <v>0</v>
      </c>
      <c r="H99" s="49">
        <f>H102</f>
        <v>0</v>
      </c>
      <c r="I99" s="49">
        <f>I102</f>
        <v>0</v>
      </c>
      <c r="J99" s="49">
        <f>J102</f>
        <v>0</v>
      </c>
      <c r="K99" s="49">
        <f>K102</f>
        <v>0</v>
      </c>
      <c r="L99" s="8"/>
      <c r="M99" s="19"/>
      <c r="P99" s="91">
        <v>720</v>
      </c>
    </row>
    <row r="100" spans="3:16" ht="12.75" x14ac:dyDescent="0.2">
      <c r="C100" s="2"/>
      <c r="D100" s="47" t="s">
        <v>183</v>
      </c>
      <c r="E100" s="42" t="s">
        <v>184</v>
      </c>
      <c r="F100" s="17" t="s">
        <v>185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730</v>
      </c>
    </row>
    <row r="101" spans="3:16" ht="12.75" x14ac:dyDescent="0.2">
      <c r="C101" s="2"/>
      <c r="D101" s="47" t="s">
        <v>186</v>
      </c>
      <c r="E101" s="43" t="s">
        <v>187</v>
      </c>
      <c r="F101" s="17" t="s">
        <v>188</v>
      </c>
      <c r="G101" s="18">
        <f t="shared" si="0"/>
        <v>0</v>
      </c>
      <c r="H101" s="48"/>
      <c r="I101" s="48"/>
      <c r="J101" s="48"/>
      <c r="K101" s="48"/>
      <c r="L101" s="8"/>
      <c r="M101" s="19"/>
      <c r="P101" s="91"/>
    </row>
    <row r="102" spans="3:16" ht="12.75" x14ac:dyDescent="0.2">
      <c r="C102" s="2"/>
      <c r="D102" s="47" t="s">
        <v>189</v>
      </c>
      <c r="E102" s="42" t="s">
        <v>190</v>
      </c>
      <c r="F102" s="17" t="s">
        <v>191</v>
      </c>
      <c r="G102" s="18">
        <f t="shared" si="0"/>
        <v>0</v>
      </c>
      <c r="H102" s="48"/>
      <c r="I102" s="48"/>
      <c r="J102" s="48"/>
      <c r="K102" s="48"/>
      <c r="L102" s="8"/>
      <c r="M102" s="19"/>
      <c r="P102" s="91">
        <v>740</v>
      </c>
    </row>
    <row r="103" spans="3:16" ht="12.75" x14ac:dyDescent="0.2">
      <c r="C103" s="2"/>
      <c r="D103" s="47" t="s">
        <v>192</v>
      </c>
      <c r="E103" s="16" t="s">
        <v>193</v>
      </c>
      <c r="F103" s="17" t="s">
        <v>194</v>
      </c>
      <c r="G103" s="18">
        <f t="shared" si="0"/>
        <v>0</v>
      </c>
      <c r="H103" s="49">
        <f>H104+H120</f>
        <v>0</v>
      </c>
      <c r="I103" s="49">
        <f>I104+I120</f>
        <v>0</v>
      </c>
      <c r="J103" s="49">
        <f>J104+J120</f>
        <v>0</v>
      </c>
      <c r="K103" s="49">
        <f>K104+K120</f>
        <v>0</v>
      </c>
      <c r="L103" s="8"/>
      <c r="M103" s="19"/>
      <c r="P103" s="91">
        <v>750</v>
      </c>
    </row>
    <row r="104" spans="3:16" ht="12.75" x14ac:dyDescent="0.2">
      <c r="C104" s="2"/>
      <c r="D104" s="47" t="s">
        <v>195</v>
      </c>
      <c r="E104" s="20" t="s">
        <v>196</v>
      </c>
      <c r="F104" s="17" t="s">
        <v>197</v>
      </c>
      <c r="G104" s="18">
        <f t="shared" si="0"/>
        <v>0</v>
      </c>
      <c r="H104" s="49">
        <f>H105+H106</f>
        <v>0</v>
      </c>
      <c r="I104" s="49">
        <f>I105+I106</f>
        <v>0</v>
      </c>
      <c r="J104" s="49">
        <f>J105+J106</f>
        <v>0</v>
      </c>
      <c r="K104" s="49">
        <f>K105+K106</f>
        <v>0</v>
      </c>
      <c r="L104" s="8"/>
      <c r="M104" s="19"/>
      <c r="P104" s="91">
        <v>760</v>
      </c>
    </row>
    <row r="105" spans="3:16" ht="12.75" x14ac:dyDescent="0.2">
      <c r="C105" s="2"/>
      <c r="D105" s="47" t="s">
        <v>198</v>
      </c>
      <c r="E105" s="42" t="s">
        <v>199</v>
      </c>
      <c r="F105" s="17" t="s">
        <v>200</v>
      </c>
      <c r="G105" s="18">
        <f t="shared" si="0"/>
        <v>0</v>
      </c>
      <c r="H105" s="48"/>
      <c r="I105" s="48"/>
      <c r="J105" s="48"/>
      <c r="K105" s="48"/>
      <c r="L105" s="8"/>
      <c r="M105" s="19"/>
      <c r="P105" s="91"/>
    </row>
    <row r="106" spans="3:16" ht="12.75" x14ac:dyDescent="0.2">
      <c r="C106" s="2"/>
      <c r="D106" s="47" t="s">
        <v>201</v>
      </c>
      <c r="E106" s="42" t="s">
        <v>202</v>
      </c>
      <c r="F106" s="17" t="s">
        <v>203</v>
      </c>
      <c r="G106" s="18">
        <f t="shared" si="0"/>
        <v>0</v>
      </c>
      <c r="H106" s="49">
        <f>H107+H110+H113+H116+H117+H118+H119</f>
        <v>0</v>
      </c>
      <c r="I106" s="49">
        <f>I107+I110+I113+I116+I117+I118+I119</f>
        <v>0</v>
      </c>
      <c r="J106" s="49">
        <f>J107+J110+J113+J116+J117+J118+J119</f>
        <v>0</v>
      </c>
      <c r="K106" s="49">
        <f>K107+K110+K113+K116+K117+K118+K119</f>
        <v>0</v>
      </c>
      <c r="L106" s="8"/>
      <c r="M106" s="19"/>
      <c r="P106" s="91"/>
    </row>
    <row r="107" spans="3:16" ht="45" x14ac:dyDescent="0.2">
      <c r="C107" s="2"/>
      <c r="D107" s="47" t="s">
        <v>204</v>
      </c>
      <c r="E107" s="43" t="s">
        <v>205</v>
      </c>
      <c r="F107" s="17" t="s">
        <v>206</v>
      </c>
      <c r="G107" s="18">
        <f t="shared" si="0"/>
        <v>0</v>
      </c>
      <c r="H107" s="50">
        <f>H108+H109</f>
        <v>0</v>
      </c>
      <c r="I107" s="50">
        <f>I108+I109</f>
        <v>0</v>
      </c>
      <c r="J107" s="50">
        <f>J108+J109</f>
        <v>0</v>
      </c>
      <c r="K107" s="50">
        <f>K108+K109</f>
        <v>0</v>
      </c>
      <c r="L107" s="8"/>
      <c r="M107" s="19"/>
      <c r="P107" s="91"/>
    </row>
    <row r="108" spans="3:16" ht="12.75" x14ac:dyDescent="0.2">
      <c r="C108" s="2"/>
      <c r="D108" s="47" t="s">
        <v>207</v>
      </c>
      <c r="E108" s="51" t="s">
        <v>208</v>
      </c>
      <c r="F108" s="17" t="s">
        <v>209</v>
      </c>
      <c r="G108" s="18">
        <f t="shared" si="0"/>
        <v>0</v>
      </c>
      <c r="H108" s="48"/>
      <c r="I108" s="48"/>
      <c r="J108" s="48"/>
      <c r="K108" s="48"/>
      <c r="L108" s="8"/>
      <c r="M108" s="19"/>
      <c r="P108" s="91"/>
    </row>
    <row r="109" spans="3:16" ht="12.75" x14ac:dyDescent="0.2">
      <c r="C109" s="2"/>
      <c r="D109" s="47" t="s">
        <v>210</v>
      </c>
      <c r="E109" s="51" t="s">
        <v>211</v>
      </c>
      <c r="F109" s="17" t="s">
        <v>212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45" x14ac:dyDescent="0.2">
      <c r="C110" s="2"/>
      <c r="D110" s="47" t="s">
        <v>213</v>
      </c>
      <c r="E110" s="43" t="s">
        <v>214</v>
      </c>
      <c r="F110" s="17" t="s">
        <v>215</v>
      </c>
      <c r="G110" s="18">
        <f t="shared" si="0"/>
        <v>0</v>
      </c>
      <c r="H110" s="50">
        <f>H111+H112</f>
        <v>0</v>
      </c>
      <c r="I110" s="50">
        <f>I111+I112</f>
        <v>0</v>
      </c>
      <c r="J110" s="50">
        <f>J111+J112</f>
        <v>0</v>
      </c>
      <c r="K110" s="50">
        <f>K111+K112</f>
        <v>0</v>
      </c>
      <c r="L110" s="8"/>
      <c r="M110" s="19"/>
      <c r="P110" s="91"/>
    </row>
    <row r="111" spans="3:16" ht="12.75" x14ac:dyDescent="0.2">
      <c r="C111" s="2"/>
      <c r="D111" s="47" t="s">
        <v>216</v>
      </c>
      <c r="E111" s="51" t="s">
        <v>208</v>
      </c>
      <c r="F111" s="17" t="s">
        <v>217</v>
      </c>
      <c r="G111" s="18">
        <f t="shared" si="0"/>
        <v>0</v>
      </c>
      <c r="H111" s="48"/>
      <c r="I111" s="48"/>
      <c r="J111" s="48"/>
      <c r="K111" s="48"/>
      <c r="L111" s="8"/>
      <c r="M111" s="19"/>
      <c r="P111" s="91"/>
    </row>
    <row r="112" spans="3:16" ht="12.75" x14ac:dyDescent="0.2">
      <c r="C112" s="2"/>
      <c r="D112" s="47" t="s">
        <v>218</v>
      </c>
      <c r="E112" s="51" t="s">
        <v>211</v>
      </c>
      <c r="F112" s="17" t="s">
        <v>219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22.5" x14ac:dyDescent="0.2">
      <c r="C113" s="2"/>
      <c r="D113" s="47" t="s">
        <v>220</v>
      </c>
      <c r="E113" s="43" t="s">
        <v>221</v>
      </c>
      <c r="F113" s="17" t="s">
        <v>222</v>
      </c>
      <c r="G113" s="18">
        <f t="shared" si="0"/>
        <v>0</v>
      </c>
      <c r="H113" s="50">
        <f>H114+H115</f>
        <v>0</v>
      </c>
      <c r="I113" s="50">
        <f>I114+I115</f>
        <v>0</v>
      </c>
      <c r="J113" s="50">
        <f>J114+J115</f>
        <v>0</v>
      </c>
      <c r="K113" s="50">
        <f>K114+K115</f>
        <v>0</v>
      </c>
      <c r="L113" s="8"/>
      <c r="M113" s="19"/>
      <c r="P113" s="91"/>
    </row>
    <row r="114" spans="3:16" ht="12.75" x14ac:dyDescent="0.2">
      <c r="C114" s="2"/>
      <c r="D114" s="47" t="s">
        <v>223</v>
      </c>
      <c r="E114" s="51" t="s">
        <v>208</v>
      </c>
      <c r="F114" s="17" t="s">
        <v>224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225</v>
      </c>
      <c r="E115" s="51" t="s">
        <v>211</v>
      </c>
      <c r="F115" s="17" t="s">
        <v>226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22.5" x14ac:dyDescent="0.2">
      <c r="C116" s="2"/>
      <c r="D116" s="47" t="s">
        <v>227</v>
      </c>
      <c r="E116" s="43" t="s">
        <v>228</v>
      </c>
      <c r="F116" s="17" t="s">
        <v>229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12.75" x14ac:dyDescent="0.2">
      <c r="C117" s="2"/>
      <c r="D117" s="47" t="s">
        <v>230</v>
      </c>
      <c r="E117" s="43" t="s">
        <v>231</v>
      </c>
      <c r="F117" s="17" t="s">
        <v>232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45" x14ac:dyDescent="0.2">
      <c r="C118" s="2"/>
      <c r="D118" s="47" t="s">
        <v>233</v>
      </c>
      <c r="E118" s="43" t="s">
        <v>234</v>
      </c>
      <c r="F118" s="17" t="s">
        <v>235</v>
      </c>
      <c r="G118" s="18">
        <f t="shared" si="0"/>
        <v>0</v>
      </c>
      <c r="H118" s="48"/>
      <c r="I118" s="48"/>
      <c r="J118" s="48"/>
      <c r="K118" s="48"/>
      <c r="L118" s="8"/>
      <c r="M118" s="19"/>
      <c r="P118" s="91"/>
    </row>
    <row r="119" spans="3:16" ht="22.5" x14ac:dyDescent="0.2">
      <c r="C119" s="2"/>
      <c r="D119" s="47" t="s">
        <v>236</v>
      </c>
      <c r="E119" s="43" t="s">
        <v>237</v>
      </c>
      <c r="F119" s="17" t="s">
        <v>238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/>
    </row>
    <row r="120" spans="3:16" ht="12.75" x14ac:dyDescent="0.2">
      <c r="C120" s="2"/>
      <c r="D120" s="47" t="s">
        <v>239</v>
      </c>
      <c r="E120" s="20" t="s">
        <v>240</v>
      </c>
      <c r="F120" s="17" t="s">
        <v>241</v>
      </c>
      <c r="G120" s="18">
        <f t="shared" si="0"/>
        <v>0</v>
      </c>
      <c r="H120" s="49">
        <f>H123</f>
        <v>0</v>
      </c>
      <c r="I120" s="49">
        <f>I123</f>
        <v>0</v>
      </c>
      <c r="J120" s="49">
        <f>J123</f>
        <v>0</v>
      </c>
      <c r="K120" s="49">
        <f>K123</f>
        <v>0</v>
      </c>
      <c r="L120" s="8"/>
      <c r="M120" s="19"/>
      <c r="P120" s="91">
        <v>770</v>
      </c>
    </row>
    <row r="121" spans="3:16" ht="12.75" x14ac:dyDescent="0.2">
      <c r="C121" s="2"/>
      <c r="D121" s="47" t="s">
        <v>242</v>
      </c>
      <c r="E121" s="42" t="s">
        <v>184</v>
      </c>
      <c r="F121" s="17" t="s">
        <v>243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780</v>
      </c>
    </row>
    <row r="122" spans="3:16" ht="12.75" x14ac:dyDescent="0.2">
      <c r="C122" s="2"/>
      <c r="D122" s="47" t="s">
        <v>244</v>
      </c>
      <c r="E122" s="43" t="s">
        <v>245</v>
      </c>
      <c r="F122" s="17" t="s">
        <v>246</v>
      </c>
      <c r="G122" s="18">
        <f t="shared" si="0"/>
        <v>0</v>
      </c>
      <c r="H122" s="48"/>
      <c r="I122" s="48"/>
      <c r="J122" s="48"/>
      <c r="K122" s="48"/>
      <c r="L122" s="8"/>
      <c r="M122" s="19"/>
      <c r="P122" s="91"/>
    </row>
    <row r="123" spans="3:16" ht="12.75" x14ac:dyDescent="0.2">
      <c r="C123" s="2"/>
      <c r="D123" s="47" t="s">
        <v>247</v>
      </c>
      <c r="E123" s="42" t="s">
        <v>190</v>
      </c>
      <c r="F123" s="17" t="s">
        <v>248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>
        <v>790</v>
      </c>
    </row>
    <row r="124" spans="3:16" ht="22.5" x14ac:dyDescent="0.2">
      <c r="C124" s="2"/>
      <c r="D124" s="47" t="s">
        <v>249</v>
      </c>
      <c r="E124" s="40" t="s">
        <v>250</v>
      </c>
      <c r="F124" s="17" t="s">
        <v>251</v>
      </c>
      <c r="G124" s="18">
        <f t="shared" si="0"/>
        <v>69887.039999999994</v>
      </c>
      <c r="H124" s="49">
        <f>SUM(H125:H126)</f>
        <v>326.00700000000001</v>
      </c>
      <c r="I124" s="49">
        <f>SUM(I125:I126)</f>
        <v>48086.044000000002</v>
      </c>
      <c r="J124" s="49">
        <f>SUM(J125:J126)</f>
        <v>13261.736000000001</v>
      </c>
      <c r="K124" s="49">
        <f>SUM(K125:K126)</f>
        <v>8213.2530000000006</v>
      </c>
      <c r="L124" s="8"/>
      <c r="M124" s="19"/>
      <c r="P124" s="91"/>
    </row>
    <row r="125" spans="3:16" ht="12.75" x14ac:dyDescent="0.2">
      <c r="C125" s="2"/>
      <c r="D125" s="47" t="s">
        <v>252</v>
      </c>
      <c r="E125" s="20" t="s">
        <v>178</v>
      </c>
      <c r="F125" s="17" t="s">
        <v>253</v>
      </c>
      <c r="G125" s="18">
        <f t="shared" si="0"/>
        <v>0</v>
      </c>
      <c r="H125" s="48"/>
      <c r="I125" s="48"/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254</v>
      </c>
      <c r="E126" s="20" t="s">
        <v>181</v>
      </c>
      <c r="F126" s="17" t="s">
        <v>255</v>
      </c>
      <c r="G126" s="18">
        <f t="shared" si="0"/>
        <v>69887.039999999994</v>
      </c>
      <c r="H126" s="49">
        <f>H128</f>
        <v>326.00700000000001</v>
      </c>
      <c r="I126" s="49">
        <f>I128</f>
        <v>48086.044000000002</v>
      </c>
      <c r="J126" s="49">
        <f>J128</f>
        <v>13261.736000000001</v>
      </c>
      <c r="K126" s="49">
        <f>K128</f>
        <v>8213.2530000000006</v>
      </c>
      <c r="L126" s="8"/>
      <c r="M126" s="19"/>
      <c r="P126" s="91"/>
    </row>
    <row r="127" spans="3:16" ht="12.75" x14ac:dyDescent="0.2">
      <c r="C127" s="2"/>
      <c r="D127" s="47" t="s">
        <v>256</v>
      </c>
      <c r="E127" s="42" t="s">
        <v>257</v>
      </c>
      <c r="F127" s="17" t="s">
        <v>258</v>
      </c>
      <c r="G127" s="18">
        <f t="shared" si="0"/>
        <v>25.006</v>
      </c>
      <c r="H127" s="48"/>
      <c r="I127" s="48">
        <f>I94</f>
        <v>25.006</v>
      </c>
      <c r="J127" s="48"/>
      <c r="K127" s="48"/>
      <c r="L127" s="8"/>
      <c r="M127" s="19"/>
      <c r="P127" s="91"/>
    </row>
    <row r="128" spans="3:16" ht="12.75" x14ac:dyDescent="0.2">
      <c r="C128" s="2"/>
      <c r="D128" s="47" t="s">
        <v>259</v>
      </c>
      <c r="E128" s="42" t="s">
        <v>190</v>
      </c>
      <c r="F128" s="17" t="s">
        <v>260</v>
      </c>
      <c r="G128" s="18">
        <f t="shared" si="0"/>
        <v>69887.039999999994</v>
      </c>
      <c r="H128" s="48">
        <v>326.00700000000001</v>
      </c>
      <c r="I128" s="48">
        <f>I34+1335.341</f>
        <v>48086.044000000002</v>
      </c>
      <c r="J128" s="48">
        <f>J34+25.009</f>
        <v>13261.736000000001</v>
      </c>
      <c r="K128" s="48">
        <f>K34</f>
        <v>8213.2530000000006</v>
      </c>
      <c r="L128" s="8"/>
      <c r="M128" s="19"/>
      <c r="P128" s="91"/>
    </row>
    <row r="129" spans="3:16" ht="12.75" x14ac:dyDescent="0.2">
      <c r="C129" s="2"/>
      <c r="D129" s="111" t="s">
        <v>261</v>
      </c>
      <c r="E129" s="112"/>
      <c r="F129" s="112"/>
      <c r="G129" s="112"/>
      <c r="H129" s="112"/>
      <c r="I129" s="112"/>
      <c r="J129" s="112"/>
      <c r="K129" s="113"/>
      <c r="L129" s="8"/>
      <c r="M129" s="19"/>
      <c r="P129" s="93"/>
    </row>
    <row r="130" spans="3:16" ht="22.5" x14ac:dyDescent="0.2">
      <c r="C130" s="2"/>
      <c r="D130" s="47" t="s">
        <v>262</v>
      </c>
      <c r="E130" s="16" t="s">
        <v>263</v>
      </c>
      <c r="F130" s="17" t="s">
        <v>264</v>
      </c>
      <c r="G130" s="18">
        <f t="shared" si="0"/>
        <v>0</v>
      </c>
      <c r="H130" s="49">
        <f>SUM( H131:H132)</f>
        <v>0</v>
      </c>
      <c r="I130" s="49">
        <f>SUM( I131:I132)</f>
        <v>0</v>
      </c>
      <c r="J130" s="49">
        <f>SUM( J131:J132)</f>
        <v>0</v>
      </c>
      <c r="K130" s="49">
        <f>SUM( K131:K132)</f>
        <v>0</v>
      </c>
      <c r="L130" s="8"/>
      <c r="M130" s="19"/>
      <c r="P130" s="91">
        <v>800</v>
      </c>
    </row>
    <row r="131" spans="3:16" ht="12.75" x14ac:dyDescent="0.2">
      <c r="C131" s="2"/>
      <c r="D131" s="47" t="s">
        <v>265</v>
      </c>
      <c r="E131" s="20" t="s">
        <v>178</v>
      </c>
      <c r="F131" s="17" t="s">
        <v>266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810</v>
      </c>
    </row>
    <row r="132" spans="3:16" ht="12.75" x14ac:dyDescent="0.2">
      <c r="C132" s="2"/>
      <c r="D132" s="47" t="s">
        <v>267</v>
      </c>
      <c r="E132" s="20" t="s">
        <v>181</v>
      </c>
      <c r="F132" s="17" t="s">
        <v>268</v>
      </c>
      <c r="G132" s="18">
        <f t="shared" si="0"/>
        <v>0</v>
      </c>
      <c r="H132" s="49">
        <f>H133+H135</f>
        <v>0</v>
      </c>
      <c r="I132" s="49">
        <f>I133+I135</f>
        <v>0</v>
      </c>
      <c r="J132" s="49">
        <f>J133+J135</f>
        <v>0</v>
      </c>
      <c r="K132" s="49">
        <f>K133+K135</f>
        <v>0</v>
      </c>
      <c r="L132" s="8"/>
      <c r="M132" s="19"/>
      <c r="P132" s="91">
        <v>820</v>
      </c>
    </row>
    <row r="133" spans="3:16" ht="12.75" x14ac:dyDescent="0.2">
      <c r="C133" s="2"/>
      <c r="D133" s="47" t="s">
        <v>269</v>
      </c>
      <c r="E133" s="42" t="s">
        <v>270</v>
      </c>
      <c r="F133" s="17" t="s">
        <v>271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830</v>
      </c>
    </row>
    <row r="134" spans="3:16" ht="12.75" x14ac:dyDescent="0.2">
      <c r="C134" s="2"/>
      <c r="D134" s="47" t="s">
        <v>272</v>
      </c>
      <c r="E134" s="43" t="s">
        <v>273</v>
      </c>
      <c r="F134" s="17" t="s">
        <v>274</v>
      </c>
      <c r="G134" s="18">
        <f t="shared" si="0"/>
        <v>0</v>
      </c>
      <c r="H134" s="48"/>
      <c r="I134" s="48"/>
      <c r="J134" s="48"/>
      <c r="K134" s="48"/>
      <c r="L134" s="8"/>
      <c r="M134" s="19"/>
      <c r="P134" s="93"/>
    </row>
    <row r="135" spans="3:16" ht="12.75" x14ac:dyDescent="0.2">
      <c r="C135" s="2"/>
      <c r="D135" s="47" t="s">
        <v>275</v>
      </c>
      <c r="E135" s="42" t="s">
        <v>276</v>
      </c>
      <c r="F135" s="17" t="s">
        <v>277</v>
      </c>
      <c r="G135" s="18">
        <f t="shared" si="0"/>
        <v>0</v>
      </c>
      <c r="H135" s="48"/>
      <c r="I135" s="48"/>
      <c r="J135" s="48"/>
      <c r="K135" s="48"/>
      <c r="L135" s="8"/>
      <c r="M135" s="19"/>
      <c r="P135" s="91">
        <v>840</v>
      </c>
    </row>
    <row r="136" spans="3:16" ht="12.75" x14ac:dyDescent="0.2">
      <c r="C136" s="2"/>
      <c r="D136" s="47" t="s">
        <v>19</v>
      </c>
      <c r="E136" s="16" t="s">
        <v>278</v>
      </c>
      <c r="F136" s="17" t="s">
        <v>279</v>
      </c>
      <c r="G136" s="18">
        <f t="shared" si="0"/>
        <v>0</v>
      </c>
      <c r="H136" s="50">
        <f>SUM( H137+H142)</f>
        <v>0</v>
      </c>
      <c r="I136" s="50">
        <f>SUM( I137+I142)</f>
        <v>0</v>
      </c>
      <c r="J136" s="50">
        <f>SUM( J137+J142)</f>
        <v>0</v>
      </c>
      <c r="K136" s="50">
        <f>SUM( K137+K142)</f>
        <v>0</v>
      </c>
      <c r="L136" s="52"/>
      <c r="M136" s="19"/>
      <c r="P136" s="91">
        <v>850</v>
      </c>
    </row>
    <row r="137" spans="3:16" ht="12.75" x14ac:dyDescent="0.2">
      <c r="C137" s="2"/>
      <c r="D137" s="47" t="s">
        <v>280</v>
      </c>
      <c r="E137" s="20" t="s">
        <v>178</v>
      </c>
      <c r="F137" s="17" t="s">
        <v>281</v>
      </c>
      <c r="G137" s="18">
        <f t="shared" ref="G137:G150" si="1">SUM(H137:K137)</f>
        <v>0</v>
      </c>
      <c r="H137" s="50">
        <f>SUM( H138:H139)</f>
        <v>0</v>
      </c>
      <c r="I137" s="50">
        <f>SUM( I138:I139)</f>
        <v>0</v>
      </c>
      <c r="J137" s="50">
        <f>SUM( J138:J139)</f>
        <v>0</v>
      </c>
      <c r="K137" s="50">
        <f>SUM( K138:K139)</f>
        <v>0</v>
      </c>
      <c r="L137" s="52"/>
      <c r="M137" s="19"/>
      <c r="P137" s="91">
        <v>860</v>
      </c>
    </row>
    <row r="138" spans="3:16" ht="12.75" x14ac:dyDescent="0.2">
      <c r="C138" s="2"/>
      <c r="D138" s="47" t="s">
        <v>282</v>
      </c>
      <c r="E138" s="42" t="s">
        <v>199</v>
      </c>
      <c r="F138" s="17" t="s">
        <v>283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284</v>
      </c>
      <c r="E139" s="42" t="s">
        <v>202</v>
      </c>
      <c r="F139" s="17" t="s">
        <v>285</v>
      </c>
      <c r="G139" s="18">
        <f t="shared" si="1"/>
        <v>0</v>
      </c>
      <c r="H139" s="50">
        <f>H140+H141</f>
        <v>0</v>
      </c>
      <c r="I139" s="50">
        <f>I140+I141</f>
        <v>0</v>
      </c>
      <c r="J139" s="50">
        <f>J140+J141</f>
        <v>0</v>
      </c>
      <c r="K139" s="50">
        <f>K140+K141</f>
        <v>0</v>
      </c>
      <c r="L139" s="52"/>
      <c r="M139" s="19"/>
      <c r="P139" s="91"/>
    </row>
    <row r="140" spans="3:16" ht="12.75" x14ac:dyDescent="0.2">
      <c r="C140" s="2"/>
      <c r="D140" s="47" t="s">
        <v>286</v>
      </c>
      <c r="E140" s="43" t="s">
        <v>208</v>
      </c>
      <c r="F140" s="17" t="s">
        <v>287</v>
      </c>
      <c r="G140" s="18">
        <f t="shared" si="1"/>
        <v>0</v>
      </c>
      <c r="H140" s="53"/>
      <c r="I140" s="53"/>
      <c r="J140" s="53"/>
      <c r="K140" s="53"/>
      <c r="L140" s="52"/>
      <c r="M140" s="19"/>
      <c r="P140" s="91"/>
    </row>
    <row r="141" spans="3:16" ht="12.75" x14ac:dyDescent="0.2">
      <c r="C141" s="2"/>
      <c r="D141" s="47" t="s">
        <v>288</v>
      </c>
      <c r="E141" s="43" t="s">
        <v>289</v>
      </c>
      <c r="F141" s="17" t="s">
        <v>290</v>
      </c>
      <c r="G141" s="18">
        <f t="shared" si="1"/>
        <v>0</v>
      </c>
      <c r="H141" s="53"/>
      <c r="I141" s="53"/>
      <c r="J141" s="53"/>
      <c r="K141" s="53"/>
      <c r="L141" s="52"/>
      <c r="M141" s="19"/>
      <c r="P141" s="91"/>
    </row>
    <row r="142" spans="3:16" ht="12.75" x14ac:dyDescent="0.2">
      <c r="C142" s="2"/>
      <c r="D142" s="47" t="s">
        <v>291</v>
      </c>
      <c r="E142" s="20" t="s">
        <v>240</v>
      </c>
      <c r="F142" s="17" t="s">
        <v>292</v>
      </c>
      <c r="G142" s="18">
        <f t="shared" si="1"/>
        <v>0</v>
      </c>
      <c r="H142" s="50">
        <f>H143+H145</f>
        <v>0</v>
      </c>
      <c r="I142" s="50">
        <f>I143+I145</f>
        <v>0</v>
      </c>
      <c r="J142" s="50">
        <f>J143+J145</f>
        <v>0</v>
      </c>
      <c r="K142" s="50">
        <f>K143+K145</f>
        <v>0</v>
      </c>
      <c r="L142" s="52"/>
      <c r="M142" s="19"/>
      <c r="P142" s="91">
        <v>870</v>
      </c>
    </row>
    <row r="143" spans="3:16" ht="12.75" x14ac:dyDescent="0.2">
      <c r="C143" s="2"/>
      <c r="D143" s="47" t="s">
        <v>293</v>
      </c>
      <c r="E143" s="42" t="s">
        <v>270</v>
      </c>
      <c r="F143" s="17" t="s">
        <v>294</v>
      </c>
      <c r="G143" s="18">
        <f t="shared" si="1"/>
        <v>0</v>
      </c>
      <c r="H143" s="48"/>
      <c r="I143" s="48"/>
      <c r="J143" s="48"/>
      <c r="K143" s="48"/>
      <c r="L143" s="52"/>
      <c r="M143" s="19"/>
      <c r="P143" s="91">
        <v>880</v>
      </c>
    </row>
    <row r="144" spans="3:16" ht="12.75" x14ac:dyDescent="0.2">
      <c r="C144" s="2"/>
      <c r="D144" s="47" t="s">
        <v>295</v>
      </c>
      <c r="E144" s="43" t="s">
        <v>273</v>
      </c>
      <c r="F144" s="17" t="s">
        <v>296</v>
      </c>
      <c r="G144" s="18">
        <f t="shared" si="1"/>
        <v>0</v>
      </c>
      <c r="H144" s="48"/>
      <c r="I144" s="48"/>
      <c r="J144" s="48"/>
      <c r="K144" s="48"/>
      <c r="L144" s="52"/>
      <c r="M144" s="19"/>
      <c r="P144" s="91"/>
    </row>
    <row r="145" spans="3:19" ht="12.75" x14ac:dyDescent="0.2">
      <c r="C145" s="2"/>
      <c r="D145" s="47" t="s">
        <v>297</v>
      </c>
      <c r="E145" s="42" t="s">
        <v>276</v>
      </c>
      <c r="F145" s="17" t="s">
        <v>298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>
        <v>890</v>
      </c>
    </row>
    <row r="146" spans="3:19" ht="22.5" x14ac:dyDescent="0.2">
      <c r="C146" s="2"/>
      <c r="D146" s="47" t="s">
        <v>299</v>
      </c>
      <c r="E146" s="16" t="s">
        <v>300</v>
      </c>
      <c r="F146" s="17" t="s">
        <v>301</v>
      </c>
      <c r="G146" s="18">
        <f t="shared" si="1"/>
        <v>43344.356274144004</v>
      </c>
      <c r="H146" s="55">
        <f>SUM( H147:H148)</f>
        <v>34.778426760000002</v>
      </c>
      <c r="I146" s="55">
        <f>SUM( I147:I148)</f>
        <v>41018.626020864001</v>
      </c>
      <c r="J146" s="55">
        <f>SUM( J147:J148)</f>
        <v>1414.7619964799999</v>
      </c>
      <c r="K146" s="55">
        <f>SUM( K147:K148)</f>
        <v>876.18983004000006</v>
      </c>
      <c r="L146" s="52"/>
      <c r="M146" s="19"/>
      <c r="P146" s="91">
        <v>900</v>
      </c>
    </row>
    <row r="147" spans="3:19" ht="12.75" x14ac:dyDescent="0.2">
      <c r="C147" s="2"/>
      <c r="D147" s="47" t="s">
        <v>302</v>
      </c>
      <c r="E147" s="20" t="s">
        <v>178</v>
      </c>
      <c r="F147" s="17" t="s">
        <v>303</v>
      </c>
      <c r="G147" s="18">
        <f t="shared" si="1"/>
        <v>0</v>
      </c>
      <c r="H147" s="54"/>
      <c r="I147" s="54"/>
      <c r="J147" s="54"/>
      <c r="K147" s="54"/>
      <c r="L147" s="52"/>
      <c r="M147" s="19"/>
      <c r="P147" s="91"/>
    </row>
    <row r="148" spans="3:19" ht="12.75" x14ac:dyDescent="0.2">
      <c r="C148" s="2"/>
      <c r="D148" s="47" t="s">
        <v>304</v>
      </c>
      <c r="E148" s="20" t="s">
        <v>181</v>
      </c>
      <c r="F148" s="17" t="s">
        <v>305</v>
      </c>
      <c r="G148" s="18">
        <f t="shared" si="1"/>
        <v>43344.356274144004</v>
      </c>
      <c r="H148" s="55">
        <f>H149+H150</f>
        <v>34.778426760000002</v>
      </c>
      <c r="I148" s="55">
        <f>I149+I150</f>
        <v>41018.626020864001</v>
      </c>
      <c r="J148" s="55">
        <f>J149+J150</f>
        <v>1414.7619964799999</v>
      </c>
      <c r="K148" s="55">
        <f>K149+K150</f>
        <v>876.18983004000006</v>
      </c>
      <c r="L148" s="52"/>
      <c r="M148" s="19"/>
      <c r="P148" s="91"/>
    </row>
    <row r="149" spans="3:19" ht="12.75" x14ac:dyDescent="0.2">
      <c r="C149" s="2"/>
      <c r="D149" s="47" t="s">
        <v>306</v>
      </c>
      <c r="E149" s="42" t="s">
        <v>307</v>
      </c>
      <c r="F149" s="17" t="s">
        <v>308</v>
      </c>
      <c r="G149" s="18">
        <f t="shared" si="1"/>
        <v>35888.806846943997</v>
      </c>
      <c r="H149" s="54"/>
      <c r="I149" s="54">
        <f>I127*99667.21/1000*1.2*12</f>
        <v>35888.806846943997</v>
      </c>
      <c r="J149" s="54"/>
      <c r="K149" s="54"/>
      <c r="L149" s="52"/>
      <c r="M149" s="19"/>
      <c r="P149" s="91" t="s">
        <v>338</v>
      </c>
    </row>
    <row r="150" spans="3:19" ht="12.75" x14ac:dyDescent="0.2">
      <c r="C150" s="2"/>
      <c r="D150" s="47" t="s">
        <v>309</v>
      </c>
      <c r="E150" s="42" t="s">
        <v>276</v>
      </c>
      <c r="F150" s="17" t="s">
        <v>310</v>
      </c>
      <c r="G150" s="18">
        <f t="shared" si="1"/>
        <v>7455.5494272000005</v>
      </c>
      <c r="H150" s="54">
        <f>H128*88.9/1000*1.2</f>
        <v>34.778426760000002</v>
      </c>
      <c r="I150" s="54">
        <f>I128*88.9/1000*1.2</f>
        <v>5129.819173920001</v>
      </c>
      <c r="J150" s="54">
        <f>J128*88.9/1000*1.2</f>
        <v>1414.7619964799999</v>
      </c>
      <c r="K150" s="54">
        <f>K128*88.9/1000*1.2</f>
        <v>876.18983004000006</v>
      </c>
      <c r="L150" s="52"/>
      <c r="M150" s="19"/>
      <c r="P150" s="91" t="s">
        <v>339</v>
      </c>
    </row>
    <row r="151" spans="3:19" x14ac:dyDescent="0.25">
      <c r="D151" s="6"/>
      <c r="E151" s="56"/>
      <c r="F151" s="56"/>
      <c r="G151" s="56"/>
      <c r="H151" s="56"/>
      <c r="I151" s="56"/>
      <c r="J151" s="56"/>
      <c r="K151" s="57"/>
      <c r="L151" s="57"/>
      <c r="M151" s="57"/>
      <c r="N151" s="57"/>
      <c r="O151" s="57"/>
      <c r="P151" s="57"/>
      <c r="Q151" s="57"/>
      <c r="R151" s="94"/>
      <c r="S151" s="94"/>
    </row>
    <row r="152" spans="3:19" ht="12.75" x14ac:dyDescent="0.2">
      <c r="E152" s="19" t="s">
        <v>311</v>
      </c>
      <c r="F152" s="103" t="str">
        <f>IF([10]Титульный!G45="","",[10]Титульный!G45)</f>
        <v>экономист</v>
      </c>
      <c r="G152" s="103"/>
      <c r="H152" s="58"/>
      <c r="I152" s="103" t="str">
        <f>IF([10]Титульный!G44="","",[10]Титульный!G44)</f>
        <v>Кривнева Е. В.</v>
      </c>
      <c r="J152" s="103"/>
      <c r="K152" s="103"/>
      <c r="L152" s="58"/>
      <c r="M152" s="59"/>
      <c r="N152" s="59"/>
      <c r="O152" s="61"/>
      <c r="P152" s="57"/>
      <c r="Q152" s="57"/>
      <c r="R152" s="94"/>
      <c r="S152" s="94"/>
    </row>
    <row r="153" spans="3:19" ht="12.75" x14ac:dyDescent="0.2">
      <c r="E153" s="60" t="s">
        <v>312</v>
      </c>
      <c r="F153" s="102" t="s">
        <v>313</v>
      </c>
      <c r="G153" s="102"/>
      <c r="H153" s="61"/>
      <c r="I153" s="102" t="s">
        <v>314</v>
      </c>
      <c r="J153" s="102"/>
      <c r="K153" s="102"/>
      <c r="L153" s="61"/>
      <c r="M153" s="102" t="s">
        <v>315</v>
      </c>
      <c r="N153" s="102"/>
      <c r="O153" s="19"/>
      <c r="P153" s="57"/>
      <c r="Q153" s="57"/>
      <c r="R153" s="94"/>
      <c r="S153" s="94"/>
    </row>
    <row r="154" spans="3:19" ht="12.75" x14ac:dyDescent="0.2">
      <c r="E154" s="60" t="s">
        <v>316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57"/>
      <c r="Q154" s="57"/>
      <c r="R154" s="94"/>
      <c r="S154" s="94"/>
    </row>
    <row r="155" spans="3:19" ht="12.75" x14ac:dyDescent="0.2">
      <c r="E155" s="60" t="s">
        <v>317</v>
      </c>
      <c r="F155" s="103" t="str">
        <f>IF([10]Титульный!G46="","",[10]Титульный!G46)</f>
        <v>(861) 258-50-71</v>
      </c>
      <c r="G155" s="103"/>
      <c r="H155" s="103"/>
      <c r="I155" s="19"/>
      <c r="J155" s="60" t="s">
        <v>318</v>
      </c>
      <c r="K155" s="100"/>
      <c r="L155" s="19"/>
      <c r="M155" s="19"/>
      <c r="N155" s="19"/>
      <c r="O155" s="19"/>
      <c r="P155" s="57"/>
      <c r="Q155" s="57"/>
      <c r="R155" s="94"/>
      <c r="S155" s="94"/>
    </row>
    <row r="156" spans="3:19" ht="12.75" x14ac:dyDescent="0.2">
      <c r="E156" s="19" t="s">
        <v>319</v>
      </c>
      <c r="F156" s="104" t="s">
        <v>320</v>
      </c>
      <c r="G156" s="104"/>
      <c r="H156" s="104"/>
      <c r="I156" s="19"/>
      <c r="J156" s="63" t="s">
        <v>321</v>
      </c>
      <c r="K156" s="63"/>
      <c r="L156" s="19"/>
      <c r="M156" s="19"/>
      <c r="N156" s="19"/>
      <c r="O156" s="19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94"/>
      <c r="S180" s="94"/>
    </row>
    <row r="181" spans="5:19" x14ac:dyDescent="0.25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5:19" x14ac:dyDescent="0.25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5:19" x14ac:dyDescent="0.25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</sheetData>
  <mergeCells count="18">
    <mergeCell ref="I152:K152"/>
    <mergeCell ref="F153:G153"/>
    <mergeCell ref="I153:K153"/>
    <mergeCell ref="M153:N153"/>
    <mergeCell ref="F155:H155"/>
    <mergeCell ref="F156:H156"/>
    <mergeCell ref="D53:K53"/>
    <mergeCell ref="D92:K92"/>
    <mergeCell ref="D96:K96"/>
    <mergeCell ref="D129:K129"/>
    <mergeCell ref="F152:G152"/>
    <mergeCell ref="D14:K14"/>
    <mergeCell ref="D8:E8"/>
    <mergeCell ref="D11:D12"/>
    <mergeCell ref="E11:E12"/>
    <mergeCell ref="F11:F12"/>
    <mergeCell ref="G11:G12"/>
    <mergeCell ref="H11:K11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65 E81 E19 E58"/>
    <dataValidation type="decimal" allowBlank="1" showErrorMessage="1" errorTitle="Ошибка" error="Допускается ввод только действительных чисел!" sqref="G24:K26 G93:K95 G67:K81 G15:K19 G83:K91 G97:K128 G63:K65 G44:K52 G28:K42 G130:K150 G60:K61 G21:K22 G54:K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opLeftCell="A124" workbookViewId="0">
      <selection activeCell="G141" sqref="G141"/>
    </sheetView>
  </sheetViews>
  <sheetFormatPr defaultRowHeight="15" x14ac:dyDescent="0.25"/>
  <cols>
    <col min="3" max="3" width="64.140625" customWidth="1"/>
    <col min="5" max="9" width="17.8554687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3"/>
      <c r="J1" s="1"/>
      <c r="K1" s="1"/>
      <c r="L1" s="1"/>
    </row>
    <row r="2" spans="1:12" ht="41.25" customHeight="1" x14ac:dyDescent="0.25">
      <c r="A2" s="1"/>
      <c r="B2" s="105" t="s">
        <v>0</v>
      </c>
      <c r="C2" s="105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1"/>
      <c r="B3" s="5" t="str">
        <f>IF(org="","Не определено",org)</f>
        <v>ООО "КВЭП"</v>
      </c>
      <c r="C3" s="5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/>
      <c r="B4" s="6"/>
      <c r="C4" s="6"/>
      <c r="D4" s="2"/>
      <c r="E4" s="2"/>
      <c r="F4" s="2"/>
      <c r="G4" s="2"/>
      <c r="H4" s="1"/>
      <c r="I4" s="7" t="s">
        <v>1</v>
      </c>
      <c r="J4" s="1"/>
      <c r="K4" s="1"/>
      <c r="L4" s="1"/>
    </row>
    <row r="5" spans="1:12" ht="15" customHeight="1" x14ac:dyDescent="0.25">
      <c r="A5" s="2"/>
      <c r="B5" s="114" t="s">
        <v>2</v>
      </c>
      <c r="C5" s="116" t="s">
        <v>3</v>
      </c>
      <c r="D5" s="116" t="s">
        <v>4</v>
      </c>
      <c r="E5" s="116" t="s">
        <v>5</v>
      </c>
      <c r="F5" s="116" t="s">
        <v>6</v>
      </c>
      <c r="G5" s="116"/>
      <c r="H5" s="116"/>
      <c r="I5" s="118"/>
      <c r="J5" s="8"/>
      <c r="K5" s="1"/>
      <c r="L5" s="1"/>
    </row>
    <row r="6" spans="1:12" x14ac:dyDescent="0.25">
      <c r="A6" s="2"/>
      <c r="B6" s="115"/>
      <c r="C6" s="117"/>
      <c r="D6" s="117"/>
      <c r="E6" s="117"/>
      <c r="F6" s="9" t="s">
        <v>7</v>
      </c>
      <c r="G6" s="9" t="s">
        <v>8</v>
      </c>
      <c r="H6" s="9" t="s">
        <v>9</v>
      </c>
      <c r="I6" s="10" t="s">
        <v>10</v>
      </c>
      <c r="J6" s="8"/>
      <c r="K6" s="1"/>
      <c r="L6" s="1"/>
    </row>
    <row r="7" spans="1:12" x14ac:dyDescent="0.25">
      <c r="A7" s="1"/>
      <c r="B7" s="11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"/>
      <c r="K7" s="1"/>
      <c r="L7" s="1"/>
    </row>
    <row r="8" spans="1:12" x14ac:dyDescent="0.25">
      <c r="A8" s="12"/>
      <c r="B8" s="111" t="s">
        <v>11</v>
      </c>
      <c r="C8" s="112"/>
      <c r="D8" s="112"/>
      <c r="E8" s="112"/>
      <c r="F8" s="112"/>
      <c r="G8" s="112"/>
      <c r="H8" s="112"/>
      <c r="I8" s="113"/>
      <c r="J8" s="13"/>
      <c r="K8" s="14"/>
      <c r="L8" s="14"/>
    </row>
    <row r="9" spans="1:12" x14ac:dyDescent="0.25">
      <c r="A9" s="12"/>
      <c r="B9" s="15" t="s">
        <v>12</v>
      </c>
      <c r="C9" s="16" t="s">
        <v>13</v>
      </c>
      <c r="D9" s="17">
        <v>10</v>
      </c>
      <c r="E9" s="18">
        <f>SUM(F9:I9)</f>
        <v>6284.08</v>
      </c>
      <c r="F9" s="18">
        <f>F10+F11+F14+F17</f>
        <v>668.43600000000004</v>
      </c>
      <c r="G9" s="18">
        <f>G10+G11+G14+G17</f>
        <v>5382.9470000000001</v>
      </c>
      <c r="H9" s="18">
        <f>H10+H11+H14+H17</f>
        <v>232.697</v>
      </c>
      <c r="I9" s="18">
        <f>I10+I11+I14+I17</f>
        <v>0</v>
      </c>
      <c r="J9" s="13"/>
      <c r="K9" s="19"/>
      <c r="L9" s="14"/>
    </row>
    <row r="10" spans="1:12" x14ac:dyDescent="0.25">
      <c r="A10" s="12"/>
      <c r="B10" s="15" t="s">
        <v>14</v>
      </c>
      <c r="C10" s="20" t="s">
        <v>15</v>
      </c>
      <c r="D10" s="17">
        <v>20</v>
      </c>
      <c r="E10" s="18">
        <f t="shared" ref="E10:E128" si="0">SUM(F10:I10)</f>
        <v>0</v>
      </c>
      <c r="F10" s="21"/>
      <c r="G10" s="21"/>
      <c r="H10" s="21"/>
      <c r="I10" s="21"/>
      <c r="J10" s="13"/>
      <c r="K10" s="19"/>
      <c r="L10" s="14"/>
    </row>
    <row r="11" spans="1:12" x14ac:dyDescent="0.25">
      <c r="A11" s="12"/>
      <c r="B11" s="15" t="s">
        <v>16</v>
      </c>
      <c r="C11" s="20" t="s">
        <v>17</v>
      </c>
      <c r="D11" s="17">
        <v>30</v>
      </c>
      <c r="E11" s="18">
        <f t="shared" si="0"/>
        <v>0</v>
      </c>
      <c r="F11" s="18">
        <f>SUM(F12:F13)</f>
        <v>0</v>
      </c>
      <c r="G11" s="18">
        <f>SUM(G12:G13)</f>
        <v>0</v>
      </c>
      <c r="H11" s="18">
        <f>SUM(H12:H13)</f>
        <v>0</v>
      </c>
      <c r="I11" s="18">
        <f>SUM(I12:I13)</f>
        <v>0</v>
      </c>
      <c r="J11" s="13"/>
      <c r="K11" s="19"/>
      <c r="L11" s="14"/>
    </row>
    <row r="12" spans="1:12" x14ac:dyDescent="0.25">
      <c r="A12" s="12"/>
      <c r="B12" s="22" t="s">
        <v>18</v>
      </c>
      <c r="C12" s="23"/>
      <c r="D12" s="24" t="s">
        <v>19</v>
      </c>
      <c r="E12" s="25"/>
      <c r="F12" s="25"/>
      <c r="G12" s="25"/>
      <c r="H12" s="25"/>
      <c r="I12" s="25"/>
      <c r="J12" s="13"/>
      <c r="K12" s="19"/>
      <c r="L12" s="14"/>
    </row>
    <row r="13" spans="1:12" x14ac:dyDescent="0.25">
      <c r="A13" s="12"/>
      <c r="B13" s="26"/>
      <c r="C13" s="27" t="s">
        <v>20</v>
      </c>
      <c r="D13" s="28"/>
      <c r="E13" s="28"/>
      <c r="F13" s="28"/>
      <c r="G13" s="28"/>
      <c r="H13" s="28"/>
      <c r="I13" s="29"/>
      <c r="J13" s="13"/>
      <c r="K13" s="19"/>
      <c r="L13" s="14"/>
    </row>
    <row r="14" spans="1:12" x14ac:dyDescent="0.25">
      <c r="A14" s="12"/>
      <c r="B14" s="15" t="s">
        <v>21</v>
      </c>
      <c r="C14" s="20" t="s">
        <v>22</v>
      </c>
      <c r="D14" s="17" t="s">
        <v>23</v>
      </c>
      <c r="E14" s="18">
        <f t="shared" si="0"/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>SUM(I15:I16)</f>
        <v>0</v>
      </c>
      <c r="J14" s="13"/>
      <c r="K14" s="19"/>
      <c r="L14" s="14"/>
    </row>
    <row r="15" spans="1:12" x14ac:dyDescent="0.25">
      <c r="A15" s="12"/>
      <c r="B15" s="22" t="s">
        <v>24</v>
      </c>
      <c r="C15" s="23"/>
      <c r="D15" s="24" t="s">
        <v>23</v>
      </c>
      <c r="E15" s="25"/>
      <c r="F15" s="25"/>
      <c r="G15" s="25"/>
      <c r="H15" s="25"/>
      <c r="I15" s="25"/>
      <c r="J15" s="13"/>
      <c r="K15" s="19"/>
      <c r="L15" s="14"/>
    </row>
    <row r="16" spans="1:12" x14ac:dyDescent="0.25">
      <c r="A16" s="12"/>
      <c r="B16" s="26"/>
      <c r="C16" s="27" t="s">
        <v>20</v>
      </c>
      <c r="D16" s="28"/>
      <c r="E16" s="28"/>
      <c r="F16" s="28"/>
      <c r="G16" s="28"/>
      <c r="H16" s="28"/>
      <c r="I16" s="29"/>
      <c r="J16" s="13"/>
      <c r="K16" s="19"/>
      <c r="L16" s="14"/>
    </row>
    <row r="17" spans="1:12" x14ac:dyDescent="0.25">
      <c r="A17" s="12"/>
      <c r="B17" s="15" t="s">
        <v>25</v>
      </c>
      <c r="C17" s="20" t="s">
        <v>26</v>
      </c>
      <c r="D17" s="17" t="s">
        <v>27</v>
      </c>
      <c r="E17" s="18">
        <f t="shared" si="0"/>
        <v>6284.08</v>
      </c>
      <c r="F17" s="18">
        <f>SUM(F18:F20)</f>
        <v>668.43600000000004</v>
      </c>
      <c r="G17" s="18">
        <f>SUM(G18:G20)</f>
        <v>5382.9470000000001</v>
      </c>
      <c r="H17" s="18">
        <f>SUM(H18:H20)</f>
        <v>232.697</v>
      </c>
      <c r="I17" s="18">
        <f>SUM(I18:I20)</f>
        <v>0</v>
      </c>
      <c r="J17" s="13"/>
      <c r="K17" s="19"/>
      <c r="L17" s="14"/>
    </row>
    <row r="18" spans="1:12" x14ac:dyDescent="0.25">
      <c r="A18" s="12"/>
      <c r="B18" s="22" t="s">
        <v>28</v>
      </c>
      <c r="C18" s="23"/>
      <c r="D18" s="24" t="s">
        <v>27</v>
      </c>
      <c r="E18" s="25"/>
      <c r="F18" s="25"/>
      <c r="G18" s="25"/>
      <c r="H18" s="25"/>
      <c r="I18" s="25"/>
      <c r="J18" s="13"/>
      <c r="K18" s="19"/>
      <c r="L18" s="14"/>
    </row>
    <row r="19" spans="1:12" x14ac:dyDescent="0.25">
      <c r="A19" s="30" t="s">
        <v>29</v>
      </c>
      <c r="B19" s="31" t="s">
        <v>30</v>
      </c>
      <c r="C19" s="32" t="s">
        <v>31</v>
      </c>
      <c r="D19" s="33">
        <v>431</v>
      </c>
      <c r="E19" s="34">
        <f>SUM(F19:I19)</f>
        <v>6284.08</v>
      </c>
      <c r="F19" s="35">
        <v>668.43600000000004</v>
      </c>
      <c r="G19" s="35">
        <v>5382.9470000000001</v>
      </c>
      <c r="H19" s="35">
        <v>232.697</v>
      </c>
      <c r="I19" s="36"/>
      <c r="J19" s="13"/>
      <c r="K19" s="37" t="s">
        <v>32</v>
      </c>
      <c r="L19" s="38" t="s">
        <v>33</v>
      </c>
    </row>
    <row r="20" spans="1:12" x14ac:dyDescent="0.25">
      <c r="A20" s="12"/>
      <c r="B20" s="26"/>
      <c r="C20" s="27" t="s">
        <v>20</v>
      </c>
      <c r="D20" s="28"/>
      <c r="E20" s="28"/>
      <c r="F20" s="28"/>
      <c r="G20" s="28"/>
      <c r="H20" s="28"/>
      <c r="I20" s="29"/>
      <c r="J20" s="13"/>
      <c r="K20" s="19"/>
      <c r="L20" s="14"/>
    </row>
    <row r="21" spans="1:12" x14ac:dyDescent="0.25">
      <c r="A21" s="12"/>
      <c r="B21" s="15" t="s">
        <v>34</v>
      </c>
      <c r="C21" s="16" t="s">
        <v>35</v>
      </c>
      <c r="D21" s="17" t="s">
        <v>36</v>
      </c>
      <c r="E21" s="18">
        <f t="shared" si="0"/>
        <v>2238.2614000000008</v>
      </c>
      <c r="F21" s="18">
        <f>F23+F24+F25</f>
        <v>0</v>
      </c>
      <c r="G21" s="18">
        <f>G22+G24+G25</f>
        <v>0</v>
      </c>
      <c r="H21" s="18">
        <f>H22+H23+H25</f>
        <v>1557.5692000000004</v>
      </c>
      <c r="I21" s="18">
        <f>I22+I23+I24</f>
        <v>680.69220000000041</v>
      </c>
      <c r="J21" s="13"/>
      <c r="K21" s="19"/>
      <c r="L21" s="14"/>
    </row>
    <row r="22" spans="1:12" x14ac:dyDescent="0.25">
      <c r="A22" s="12"/>
      <c r="B22" s="15" t="s">
        <v>37</v>
      </c>
      <c r="C22" s="20" t="s">
        <v>7</v>
      </c>
      <c r="D22" s="17" t="s">
        <v>38</v>
      </c>
      <c r="E22" s="18">
        <f t="shared" si="0"/>
        <v>667.91120000000001</v>
      </c>
      <c r="F22" s="39"/>
      <c r="G22" s="21"/>
      <c r="H22" s="21">
        <f>F38</f>
        <v>667.91120000000001</v>
      </c>
      <c r="I22" s="21"/>
      <c r="J22" s="13"/>
      <c r="K22" s="19"/>
      <c r="L22" s="14"/>
    </row>
    <row r="23" spans="1:12" x14ac:dyDescent="0.25">
      <c r="A23" s="12"/>
      <c r="B23" s="15" t="s">
        <v>39</v>
      </c>
      <c r="C23" s="20" t="s">
        <v>8</v>
      </c>
      <c r="D23" s="17" t="s">
        <v>40</v>
      </c>
      <c r="E23" s="18">
        <f t="shared" si="0"/>
        <v>889.65800000000036</v>
      </c>
      <c r="F23" s="21"/>
      <c r="G23" s="39"/>
      <c r="H23" s="21">
        <f>G19-G27-G41</f>
        <v>889.65800000000036</v>
      </c>
      <c r="I23" s="21"/>
      <c r="J23" s="13"/>
      <c r="K23" s="19"/>
      <c r="L23" s="14"/>
    </row>
    <row r="24" spans="1:12" x14ac:dyDescent="0.25">
      <c r="A24" s="12"/>
      <c r="B24" s="15" t="s">
        <v>41</v>
      </c>
      <c r="C24" s="20" t="s">
        <v>9</v>
      </c>
      <c r="D24" s="17" t="s">
        <v>42</v>
      </c>
      <c r="E24" s="18">
        <f t="shared" si="0"/>
        <v>680.69220000000041</v>
      </c>
      <c r="F24" s="21"/>
      <c r="G24" s="21"/>
      <c r="H24" s="39"/>
      <c r="I24" s="21">
        <f>H17+H21-H41-H27</f>
        <v>680.69220000000041</v>
      </c>
      <c r="J24" s="13"/>
      <c r="K24" s="19"/>
      <c r="L24" s="14"/>
    </row>
    <row r="25" spans="1:12" x14ac:dyDescent="0.25">
      <c r="A25" s="12"/>
      <c r="B25" s="15" t="s">
        <v>43</v>
      </c>
      <c r="C25" s="20" t="s">
        <v>44</v>
      </c>
      <c r="D25" s="17" t="s">
        <v>45</v>
      </c>
      <c r="E25" s="18">
        <f t="shared" si="0"/>
        <v>0</v>
      </c>
      <c r="F25" s="21"/>
      <c r="G25" s="21"/>
      <c r="H25" s="21"/>
      <c r="I25" s="39"/>
      <c r="J25" s="13"/>
      <c r="K25" s="19"/>
      <c r="L25" s="14"/>
    </row>
    <row r="26" spans="1:12" x14ac:dyDescent="0.25">
      <c r="A26" s="12"/>
      <c r="B26" s="15" t="s">
        <v>46</v>
      </c>
      <c r="C26" s="40" t="s">
        <v>47</v>
      </c>
      <c r="D26" s="17" t="s">
        <v>48</v>
      </c>
      <c r="E26" s="18">
        <f t="shared" si="0"/>
        <v>0</v>
      </c>
      <c r="F26" s="21"/>
      <c r="G26" s="21"/>
      <c r="H26" s="21"/>
      <c r="I26" s="21"/>
      <c r="J26" s="13"/>
      <c r="K26" s="19"/>
      <c r="L26" s="14"/>
    </row>
    <row r="27" spans="1:12" x14ac:dyDescent="0.25">
      <c r="A27" s="12"/>
      <c r="B27" s="15" t="s">
        <v>49</v>
      </c>
      <c r="C27" s="16" t="s">
        <v>50</v>
      </c>
      <c r="D27" s="41" t="s">
        <v>51</v>
      </c>
      <c r="E27" s="18">
        <f t="shared" si="0"/>
        <v>6164.2009999999991</v>
      </c>
      <c r="F27" s="18">
        <f>F28+F30+F33+F37</f>
        <v>0</v>
      </c>
      <c r="G27" s="18">
        <f>G28+G30+G33+G37</f>
        <v>4434.2709999999997</v>
      </c>
      <c r="H27" s="18">
        <f>H28+H30+H33+H37</f>
        <v>1081.8430000000001</v>
      </c>
      <c r="I27" s="18">
        <f>I28+I30+I33+I37</f>
        <v>648.08699999999999</v>
      </c>
      <c r="J27" s="13"/>
      <c r="K27" s="19"/>
      <c r="L27" s="14"/>
    </row>
    <row r="28" spans="1:12" ht="22.5" x14ac:dyDescent="0.25">
      <c r="A28" s="12"/>
      <c r="B28" s="15" t="s">
        <v>52</v>
      </c>
      <c r="C28" s="20" t="s">
        <v>53</v>
      </c>
      <c r="D28" s="17" t="s">
        <v>54</v>
      </c>
      <c r="E28" s="18">
        <f t="shared" si="0"/>
        <v>0</v>
      </c>
      <c r="F28" s="21"/>
      <c r="G28" s="21"/>
      <c r="H28" s="21"/>
      <c r="I28" s="21"/>
      <c r="J28" s="13"/>
      <c r="K28" s="19"/>
      <c r="L28" s="14"/>
    </row>
    <row r="29" spans="1:12" x14ac:dyDescent="0.25">
      <c r="A29" s="12"/>
      <c r="B29" s="15" t="s">
        <v>55</v>
      </c>
      <c r="C29" s="42" t="s">
        <v>56</v>
      </c>
      <c r="D29" s="17" t="s">
        <v>57</v>
      </c>
      <c r="E29" s="18">
        <f t="shared" si="0"/>
        <v>0</v>
      </c>
      <c r="F29" s="21"/>
      <c r="G29" s="21"/>
      <c r="H29" s="21"/>
      <c r="I29" s="21"/>
      <c r="J29" s="13"/>
      <c r="K29" s="19"/>
      <c r="L29" s="14"/>
    </row>
    <row r="30" spans="1:12" x14ac:dyDescent="0.25">
      <c r="A30" s="12"/>
      <c r="B30" s="15" t="s">
        <v>58</v>
      </c>
      <c r="C30" s="20" t="s">
        <v>59</v>
      </c>
      <c r="D30" s="17" t="s">
        <v>60</v>
      </c>
      <c r="E30" s="18">
        <f t="shared" si="0"/>
        <v>2397.5500000000002</v>
      </c>
      <c r="F30" s="21">
        <v>0</v>
      </c>
      <c r="G30" s="21">
        <v>667.62</v>
      </c>
      <c r="H30" s="21">
        <v>1081.8430000000001</v>
      </c>
      <c r="I30" s="21">
        <v>648.08699999999999</v>
      </c>
      <c r="J30" s="13"/>
      <c r="K30" s="19"/>
      <c r="L30" s="14"/>
    </row>
    <row r="31" spans="1:12" x14ac:dyDescent="0.25">
      <c r="A31" s="12"/>
      <c r="B31" s="15" t="s">
        <v>61</v>
      </c>
      <c r="C31" s="42" t="s">
        <v>62</v>
      </c>
      <c r="D31" s="17" t="s">
        <v>63</v>
      </c>
      <c r="E31" s="18">
        <f t="shared" si="0"/>
        <v>0</v>
      </c>
      <c r="F31" s="21"/>
      <c r="G31" s="21"/>
      <c r="H31" s="21"/>
      <c r="I31" s="21"/>
      <c r="J31" s="13"/>
      <c r="K31" s="19"/>
      <c r="L31" s="14"/>
    </row>
    <row r="32" spans="1:12" x14ac:dyDescent="0.25">
      <c r="A32" s="12"/>
      <c r="B32" s="15" t="s">
        <v>64</v>
      </c>
      <c r="C32" s="43" t="s">
        <v>56</v>
      </c>
      <c r="D32" s="17" t="s">
        <v>65</v>
      </c>
      <c r="E32" s="18">
        <f t="shared" si="0"/>
        <v>0</v>
      </c>
      <c r="F32" s="21"/>
      <c r="G32" s="21"/>
      <c r="H32" s="21"/>
      <c r="I32" s="21"/>
      <c r="J32" s="13"/>
      <c r="K32" s="19"/>
      <c r="L32" s="14"/>
    </row>
    <row r="33" spans="1:12" x14ac:dyDescent="0.25">
      <c r="A33" s="12"/>
      <c r="B33" s="15" t="s">
        <v>66</v>
      </c>
      <c r="C33" s="20" t="s">
        <v>67</v>
      </c>
      <c r="D33" s="17" t="s">
        <v>68</v>
      </c>
      <c r="E33" s="18">
        <f t="shared" si="0"/>
        <v>3766.6509999999998</v>
      </c>
      <c r="F33" s="18">
        <f>SUM(F34:F36)</f>
        <v>0</v>
      </c>
      <c r="G33" s="18">
        <f>SUM(G34:G36)</f>
        <v>3766.6509999999998</v>
      </c>
      <c r="H33" s="18">
        <f>SUM(H34:H36)</f>
        <v>0</v>
      </c>
      <c r="I33" s="18">
        <f>SUM(I34:I36)</f>
        <v>0</v>
      </c>
      <c r="J33" s="13"/>
      <c r="K33" s="19"/>
      <c r="L33" s="14"/>
    </row>
    <row r="34" spans="1:12" x14ac:dyDescent="0.25">
      <c r="A34" s="12"/>
      <c r="B34" s="22" t="s">
        <v>69</v>
      </c>
      <c r="C34" s="23"/>
      <c r="D34" s="24" t="s">
        <v>68</v>
      </c>
      <c r="E34" s="25"/>
      <c r="F34" s="25"/>
      <c r="G34" s="25"/>
      <c r="H34" s="25"/>
      <c r="I34" s="25"/>
      <c r="J34" s="13"/>
      <c r="K34" s="19"/>
      <c r="L34" s="14"/>
    </row>
    <row r="35" spans="1:12" x14ac:dyDescent="0.25">
      <c r="A35" s="30" t="s">
        <v>29</v>
      </c>
      <c r="B35" s="31" t="s">
        <v>70</v>
      </c>
      <c r="C35" s="32" t="s">
        <v>71</v>
      </c>
      <c r="D35" s="33">
        <v>751</v>
      </c>
      <c r="E35" s="34">
        <f>SUM(F35:I35)</f>
        <v>3766.6509999999998</v>
      </c>
      <c r="F35" s="35"/>
      <c r="G35" s="35">
        <v>3766.6509999999998</v>
      </c>
      <c r="H35" s="35"/>
      <c r="I35" s="36"/>
      <c r="J35" s="13"/>
      <c r="K35" s="37" t="s">
        <v>72</v>
      </c>
      <c r="L35" s="38" t="s">
        <v>73</v>
      </c>
    </row>
    <row r="36" spans="1:12" x14ac:dyDescent="0.25">
      <c r="A36" s="12"/>
      <c r="B36" s="44"/>
      <c r="C36" s="27" t="s">
        <v>20</v>
      </c>
      <c r="D36" s="28"/>
      <c r="E36" s="28"/>
      <c r="F36" s="28"/>
      <c r="G36" s="28"/>
      <c r="H36" s="28"/>
      <c r="I36" s="29"/>
      <c r="J36" s="13"/>
      <c r="K36" s="19"/>
      <c r="L36" s="14"/>
    </row>
    <row r="37" spans="1:12" x14ac:dyDescent="0.25">
      <c r="A37" s="12"/>
      <c r="B37" s="15" t="s">
        <v>74</v>
      </c>
      <c r="C37" s="45" t="s">
        <v>75</v>
      </c>
      <c r="D37" s="17" t="s">
        <v>76</v>
      </c>
      <c r="E37" s="18">
        <f t="shared" si="0"/>
        <v>0</v>
      </c>
      <c r="F37" s="21"/>
      <c r="G37" s="21"/>
      <c r="H37" s="21"/>
      <c r="I37" s="21"/>
      <c r="J37" s="13"/>
      <c r="K37" s="19"/>
      <c r="L37" s="14"/>
    </row>
    <row r="38" spans="1:12" x14ac:dyDescent="0.25">
      <c r="A38" s="12"/>
      <c r="B38" s="15" t="s">
        <v>77</v>
      </c>
      <c r="C38" s="16" t="s">
        <v>78</v>
      </c>
      <c r="D38" s="17" t="s">
        <v>79</v>
      </c>
      <c r="E38" s="18">
        <f t="shared" si="0"/>
        <v>2238.2616000000012</v>
      </c>
      <c r="F38" s="21">
        <f>F19-F41</f>
        <v>667.91120000000001</v>
      </c>
      <c r="G38" s="21">
        <f>G9-G27-G41</f>
        <v>889.65800000000036</v>
      </c>
      <c r="H38" s="21">
        <f>H17+H21-H27-H41</f>
        <v>680.69220000000041</v>
      </c>
      <c r="I38" s="21">
        <f>I24-I27-I41</f>
        <v>2.0000000042585953E-4</v>
      </c>
      <c r="J38" s="13"/>
      <c r="K38" s="19"/>
      <c r="L38" s="14"/>
    </row>
    <row r="39" spans="1:12" x14ac:dyDescent="0.25">
      <c r="A39" s="12"/>
      <c r="B39" s="15" t="s">
        <v>80</v>
      </c>
      <c r="C39" s="16" t="s">
        <v>81</v>
      </c>
      <c r="D39" s="17" t="s">
        <v>82</v>
      </c>
      <c r="E39" s="18">
        <f t="shared" si="0"/>
        <v>0</v>
      </c>
      <c r="F39" s="21"/>
      <c r="G39" s="21"/>
      <c r="H39" s="21"/>
      <c r="I39" s="21"/>
      <c r="J39" s="13"/>
      <c r="K39" s="19"/>
      <c r="L39" s="14"/>
    </row>
    <row r="40" spans="1:12" x14ac:dyDescent="0.25">
      <c r="A40" s="12"/>
      <c r="B40" s="15" t="s">
        <v>83</v>
      </c>
      <c r="C40" s="16" t="s">
        <v>84</v>
      </c>
      <c r="D40" s="17" t="s">
        <v>85</v>
      </c>
      <c r="E40" s="18">
        <f t="shared" si="0"/>
        <v>0</v>
      </c>
      <c r="F40" s="21"/>
      <c r="G40" s="21"/>
      <c r="H40" s="21"/>
      <c r="I40" s="21"/>
      <c r="J40" s="13"/>
      <c r="K40" s="19"/>
      <c r="L40" s="14"/>
    </row>
    <row r="41" spans="1:12" x14ac:dyDescent="0.25">
      <c r="A41" s="12"/>
      <c r="B41" s="15" t="s">
        <v>86</v>
      </c>
      <c r="C41" s="16" t="s">
        <v>87</v>
      </c>
      <c r="D41" s="17" t="s">
        <v>88</v>
      </c>
      <c r="E41" s="18">
        <f t="shared" si="0"/>
        <v>119.87879999999998</v>
      </c>
      <c r="F41" s="21">
        <v>0.52480000000000004</v>
      </c>
      <c r="G41" s="21">
        <v>59.018000000000001</v>
      </c>
      <c r="H41" s="21">
        <v>27.731000000000002</v>
      </c>
      <c r="I41" s="21">
        <v>32.604999999999997</v>
      </c>
      <c r="J41" s="13"/>
      <c r="K41" s="19"/>
      <c r="L41" s="14"/>
    </row>
    <row r="42" spans="1:12" x14ac:dyDescent="0.25">
      <c r="A42" s="12"/>
      <c r="B42" s="15" t="s">
        <v>89</v>
      </c>
      <c r="C42" s="20" t="s">
        <v>90</v>
      </c>
      <c r="D42" s="17" t="s">
        <v>91</v>
      </c>
      <c r="E42" s="18">
        <f t="shared" si="0"/>
        <v>0</v>
      </c>
      <c r="F42" s="21"/>
      <c r="G42" s="21"/>
      <c r="H42" s="21"/>
      <c r="I42" s="21"/>
      <c r="J42" s="13"/>
      <c r="K42" s="19"/>
      <c r="L42" s="14"/>
    </row>
    <row r="43" spans="1:12" ht="22.5" x14ac:dyDescent="0.25">
      <c r="A43" s="12"/>
      <c r="B43" s="15" t="s">
        <v>92</v>
      </c>
      <c r="C43" s="16" t="s">
        <v>93</v>
      </c>
      <c r="D43" s="17" t="s">
        <v>94</v>
      </c>
      <c r="E43" s="18">
        <f t="shared" si="0"/>
        <v>215</v>
      </c>
      <c r="F43" s="21"/>
      <c r="G43" s="21">
        <v>53.062812673707619</v>
      </c>
      <c r="H43" s="21">
        <v>70.750416898276825</v>
      </c>
      <c r="I43" s="21">
        <v>91.186770428015578</v>
      </c>
      <c r="J43" s="13"/>
      <c r="K43" s="19"/>
      <c r="L43" s="14"/>
    </row>
    <row r="44" spans="1:12" ht="33.75" x14ac:dyDescent="0.25">
      <c r="A44" s="12"/>
      <c r="B44" s="15" t="s">
        <v>95</v>
      </c>
      <c r="C44" s="40" t="s">
        <v>96</v>
      </c>
      <c r="D44" s="17" t="s">
        <v>97</v>
      </c>
      <c r="E44" s="18">
        <f t="shared" si="0"/>
        <v>-95.121200000000016</v>
      </c>
      <c r="F44" s="18">
        <f>F41-F43</f>
        <v>0.52480000000000004</v>
      </c>
      <c r="G44" s="18">
        <f>G41-G43</f>
        <v>5.955187326292382</v>
      </c>
      <c r="H44" s="18">
        <f>H41-H43</f>
        <v>-43.019416898276823</v>
      </c>
      <c r="I44" s="18">
        <f>I41-I43</f>
        <v>-58.581770428015581</v>
      </c>
      <c r="J44" s="13"/>
      <c r="K44" s="19"/>
      <c r="L44" s="14"/>
    </row>
    <row r="45" spans="1:12" x14ac:dyDescent="0.25">
      <c r="A45" s="12"/>
      <c r="B45" s="15" t="s">
        <v>98</v>
      </c>
      <c r="C45" s="16" t="s">
        <v>99</v>
      </c>
      <c r="D45" s="17" t="s">
        <v>100</v>
      </c>
      <c r="E45" s="18">
        <f t="shared" si="0"/>
        <v>0</v>
      </c>
      <c r="F45" s="18">
        <f>(F9+F21+F26)-(F27+F38+F39+F40+F41)</f>
        <v>0</v>
      </c>
      <c r="G45" s="18">
        <f>(G9+G21+G26)-(G27+G38+G39+G40+G41)</f>
        <v>0</v>
      </c>
      <c r="H45" s="18">
        <f>(H9+H21+H26)-(H27+H38+H39+H40+H41)</f>
        <v>0</v>
      </c>
      <c r="I45" s="18">
        <f>(I9+I21+I26)-(I27+I38+I39+I40+I41)</f>
        <v>0</v>
      </c>
      <c r="J45" s="13"/>
      <c r="K45" s="19"/>
      <c r="L45" s="14"/>
    </row>
    <row r="46" spans="1:12" x14ac:dyDescent="0.25">
      <c r="A46" s="12"/>
      <c r="B46" s="111" t="s">
        <v>101</v>
      </c>
      <c r="C46" s="112"/>
      <c r="D46" s="112"/>
      <c r="E46" s="112"/>
      <c r="F46" s="112"/>
      <c r="G46" s="112"/>
      <c r="H46" s="112"/>
      <c r="I46" s="113"/>
      <c r="J46" s="13"/>
      <c r="K46" s="19"/>
      <c r="L46" s="14"/>
    </row>
    <row r="47" spans="1:12" x14ac:dyDescent="0.25">
      <c r="A47" s="12"/>
      <c r="B47" s="15" t="s">
        <v>102</v>
      </c>
      <c r="C47" s="16" t="s">
        <v>13</v>
      </c>
      <c r="D47" s="17" t="s">
        <v>103</v>
      </c>
      <c r="E47" s="18">
        <f t="shared" si="0"/>
        <v>9.028850574712644</v>
      </c>
      <c r="F47" s="18">
        <f>F48+F49+F52+F55</f>
        <v>0.96039655172413796</v>
      </c>
      <c r="G47" s="18">
        <f>G48+G49+G52+G55</f>
        <v>7.7341192528735636</v>
      </c>
      <c r="H47" s="18">
        <f>H48+H49+H52+H55</f>
        <v>0.33433477011494256</v>
      </c>
      <c r="I47" s="18">
        <f>I48+I49+I52+I55</f>
        <v>0</v>
      </c>
      <c r="J47" s="13"/>
      <c r="K47" s="19"/>
      <c r="L47" s="14"/>
    </row>
    <row r="48" spans="1:12" x14ac:dyDescent="0.25">
      <c r="A48" s="12"/>
      <c r="B48" s="15" t="s">
        <v>104</v>
      </c>
      <c r="C48" s="20" t="s">
        <v>15</v>
      </c>
      <c r="D48" s="17" t="s">
        <v>105</v>
      </c>
      <c r="E48" s="18">
        <f t="shared" si="0"/>
        <v>0</v>
      </c>
      <c r="F48" s="21"/>
      <c r="G48" s="21"/>
      <c r="H48" s="21"/>
      <c r="I48" s="21"/>
      <c r="J48" s="13"/>
      <c r="K48" s="19"/>
      <c r="L48" s="14"/>
    </row>
    <row r="49" spans="1:12" x14ac:dyDescent="0.25">
      <c r="A49" s="12"/>
      <c r="B49" s="15" t="s">
        <v>106</v>
      </c>
      <c r="C49" s="20" t="s">
        <v>17</v>
      </c>
      <c r="D49" s="17" t="s">
        <v>107</v>
      </c>
      <c r="E49" s="18">
        <f t="shared" si="0"/>
        <v>0</v>
      </c>
      <c r="F49" s="18">
        <f>SUM(F50:F51)</f>
        <v>0</v>
      </c>
      <c r="G49" s="18">
        <f>SUM(G50:G51)</f>
        <v>0</v>
      </c>
      <c r="H49" s="18">
        <f>SUM(H50:H51)</f>
        <v>0</v>
      </c>
      <c r="I49" s="18">
        <f>SUM(I50:I51)</f>
        <v>0</v>
      </c>
      <c r="J49" s="13"/>
      <c r="K49" s="19"/>
      <c r="L49" s="14"/>
    </row>
    <row r="50" spans="1:12" x14ac:dyDescent="0.25">
      <c r="A50" s="12"/>
      <c r="B50" s="22" t="s">
        <v>108</v>
      </c>
      <c r="C50" s="23"/>
      <c r="D50" s="24" t="s">
        <v>107</v>
      </c>
      <c r="E50" s="25"/>
      <c r="F50" s="25"/>
      <c r="G50" s="25"/>
      <c r="H50" s="25"/>
      <c r="I50" s="25"/>
      <c r="J50" s="13"/>
      <c r="K50" s="19"/>
      <c r="L50" s="14"/>
    </row>
    <row r="51" spans="1:12" x14ac:dyDescent="0.25">
      <c r="A51" s="12"/>
      <c r="B51" s="26"/>
      <c r="C51" s="27" t="s">
        <v>20</v>
      </c>
      <c r="D51" s="28"/>
      <c r="E51" s="28"/>
      <c r="F51" s="28"/>
      <c r="G51" s="28"/>
      <c r="H51" s="28"/>
      <c r="I51" s="29"/>
      <c r="J51" s="13"/>
      <c r="K51" s="19"/>
      <c r="L51" s="14"/>
    </row>
    <row r="52" spans="1:12" x14ac:dyDescent="0.25">
      <c r="A52" s="12"/>
      <c r="B52" s="15" t="s">
        <v>109</v>
      </c>
      <c r="C52" s="20" t="s">
        <v>22</v>
      </c>
      <c r="D52" s="17" t="s">
        <v>110</v>
      </c>
      <c r="E52" s="18">
        <f t="shared" si="0"/>
        <v>0</v>
      </c>
      <c r="F52" s="18">
        <f>SUM(F53:F54)</f>
        <v>0</v>
      </c>
      <c r="G52" s="18">
        <f>SUM(G53:G54)</f>
        <v>0</v>
      </c>
      <c r="H52" s="18">
        <f>SUM(H53:H54)</f>
        <v>0</v>
      </c>
      <c r="I52" s="18">
        <f>SUM(I53:I54)</f>
        <v>0</v>
      </c>
      <c r="J52" s="13"/>
      <c r="K52" s="19"/>
      <c r="L52" s="14"/>
    </row>
    <row r="53" spans="1:12" x14ac:dyDescent="0.25">
      <c r="A53" s="12"/>
      <c r="B53" s="22" t="s">
        <v>111</v>
      </c>
      <c r="C53" s="23"/>
      <c r="D53" s="24" t="s">
        <v>110</v>
      </c>
      <c r="E53" s="25"/>
      <c r="F53" s="25"/>
      <c r="G53" s="25"/>
      <c r="H53" s="25"/>
      <c r="I53" s="25"/>
      <c r="J53" s="13"/>
      <c r="K53" s="19"/>
      <c r="L53" s="14"/>
    </row>
    <row r="54" spans="1:12" x14ac:dyDescent="0.25">
      <c r="A54" s="12"/>
      <c r="B54" s="26"/>
      <c r="C54" s="27" t="s">
        <v>20</v>
      </c>
      <c r="D54" s="28"/>
      <c r="E54" s="28"/>
      <c r="F54" s="28"/>
      <c r="G54" s="28"/>
      <c r="H54" s="28"/>
      <c r="I54" s="29"/>
      <c r="J54" s="13"/>
      <c r="K54" s="19"/>
      <c r="L54" s="14"/>
    </row>
    <row r="55" spans="1:12" x14ac:dyDescent="0.25">
      <c r="A55" s="12"/>
      <c r="B55" s="15" t="s">
        <v>112</v>
      </c>
      <c r="C55" s="20" t="s">
        <v>26</v>
      </c>
      <c r="D55" s="17" t="s">
        <v>113</v>
      </c>
      <c r="E55" s="18">
        <f t="shared" si="0"/>
        <v>9.028850574712644</v>
      </c>
      <c r="F55" s="18">
        <f>SUM(F56:F58)</f>
        <v>0.96039655172413796</v>
      </c>
      <c r="G55" s="18">
        <f>SUM(G56:G58)</f>
        <v>7.7341192528735636</v>
      </c>
      <c r="H55" s="18">
        <f>SUM(H56:H58)</f>
        <v>0.33433477011494256</v>
      </c>
      <c r="I55" s="18">
        <f>SUM(I56:I58)</f>
        <v>0</v>
      </c>
      <c r="J55" s="13"/>
      <c r="K55" s="19"/>
      <c r="L55" s="14"/>
    </row>
    <row r="56" spans="1:12" x14ac:dyDescent="0.25">
      <c r="A56" s="12"/>
      <c r="B56" s="22" t="s">
        <v>114</v>
      </c>
      <c r="C56" s="23"/>
      <c r="D56" s="24" t="s">
        <v>113</v>
      </c>
      <c r="E56" s="25"/>
      <c r="F56" s="25"/>
      <c r="G56" s="25"/>
      <c r="H56" s="25"/>
      <c r="I56" s="25"/>
      <c r="J56" s="13"/>
      <c r="K56" s="19"/>
      <c r="L56" s="14"/>
    </row>
    <row r="57" spans="1:12" x14ac:dyDescent="0.25">
      <c r="A57" s="30" t="s">
        <v>29</v>
      </c>
      <c r="B57" s="31" t="s">
        <v>115</v>
      </c>
      <c r="C57" s="32" t="s">
        <v>31</v>
      </c>
      <c r="D57" s="33">
        <v>1461</v>
      </c>
      <c r="E57" s="34">
        <f>SUM(F57:I57)</f>
        <v>9.028850574712644</v>
      </c>
      <c r="F57" s="35">
        <f>F19/696</f>
        <v>0.96039655172413796</v>
      </c>
      <c r="G57" s="35">
        <f>G19/696</f>
        <v>7.7341192528735636</v>
      </c>
      <c r="H57" s="35">
        <f>H19/696</f>
        <v>0.33433477011494256</v>
      </c>
      <c r="I57" s="35"/>
      <c r="J57" s="13"/>
      <c r="K57" s="37" t="s">
        <v>32</v>
      </c>
      <c r="L57" s="38" t="s">
        <v>33</v>
      </c>
    </row>
    <row r="58" spans="1:12" x14ac:dyDescent="0.25">
      <c r="A58" s="12"/>
      <c r="B58" s="26"/>
      <c r="C58" s="27" t="s">
        <v>20</v>
      </c>
      <c r="D58" s="28"/>
      <c r="E58" s="28"/>
      <c r="F58" s="28"/>
      <c r="G58" s="28"/>
      <c r="H58" s="28"/>
      <c r="I58" s="29"/>
      <c r="J58" s="13"/>
      <c r="K58" s="19"/>
      <c r="L58" s="14"/>
    </row>
    <row r="59" spans="1:12" x14ac:dyDescent="0.25">
      <c r="A59" s="12"/>
      <c r="B59" s="15" t="s">
        <v>116</v>
      </c>
      <c r="C59" s="16" t="s">
        <v>35</v>
      </c>
      <c r="D59" s="17" t="s">
        <v>117</v>
      </c>
      <c r="E59" s="18">
        <f t="shared" si="0"/>
        <v>3.2158928160919551</v>
      </c>
      <c r="F59" s="18">
        <f>F61+F62+F63</f>
        <v>0</v>
      </c>
      <c r="G59" s="18">
        <f>G60+G62+G63</f>
        <v>0</v>
      </c>
      <c r="H59" s="18">
        <f>H60+H61+H63</f>
        <v>2.2378867816091961</v>
      </c>
      <c r="I59" s="18">
        <f>I60+I61+I62</f>
        <v>0.97800603448275925</v>
      </c>
      <c r="J59" s="13"/>
      <c r="K59" s="19"/>
      <c r="L59" s="14"/>
    </row>
    <row r="60" spans="1:12" x14ac:dyDescent="0.25">
      <c r="A60" s="12"/>
      <c r="B60" s="15" t="s">
        <v>118</v>
      </c>
      <c r="C60" s="20" t="s">
        <v>7</v>
      </c>
      <c r="D60" s="17" t="s">
        <v>119</v>
      </c>
      <c r="E60" s="18">
        <f t="shared" si="0"/>
        <v>0.95964252873563216</v>
      </c>
      <c r="F60" s="39"/>
      <c r="G60" s="21"/>
      <c r="H60" s="21">
        <f>H22/696</f>
        <v>0.95964252873563216</v>
      </c>
      <c r="I60" s="21"/>
      <c r="J60" s="13"/>
      <c r="K60" s="19"/>
      <c r="L60" s="14"/>
    </row>
    <row r="61" spans="1:12" x14ac:dyDescent="0.25">
      <c r="A61" s="12"/>
      <c r="B61" s="15" t="s">
        <v>120</v>
      </c>
      <c r="C61" s="20" t="s">
        <v>8</v>
      </c>
      <c r="D61" s="17" t="s">
        <v>121</v>
      </c>
      <c r="E61" s="18">
        <f t="shared" si="0"/>
        <v>1.2782442528735638</v>
      </c>
      <c r="F61" s="21"/>
      <c r="G61" s="46"/>
      <c r="H61" s="21">
        <f>H23/696</f>
        <v>1.2782442528735638</v>
      </c>
      <c r="I61" s="21"/>
      <c r="J61" s="13"/>
      <c r="K61" s="19"/>
      <c r="L61" s="14"/>
    </row>
    <row r="62" spans="1:12" x14ac:dyDescent="0.25">
      <c r="A62" s="12"/>
      <c r="B62" s="15" t="s">
        <v>122</v>
      </c>
      <c r="C62" s="20" t="s">
        <v>9</v>
      </c>
      <c r="D62" s="17" t="s">
        <v>123</v>
      </c>
      <c r="E62" s="18">
        <f t="shared" si="0"/>
        <v>0.97800603448275925</v>
      </c>
      <c r="F62" s="21"/>
      <c r="G62" s="21"/>
      <c r="H62" s="39"/>
      <c r="I62" s="21">
        <f>I24/696</f>
        <v>0.97800603448275925</v>
      </c>
      <c r="J62" s="13"/>
      <c r="K62" s="19"/>
      <c r="L62" s="14"/>
    </row>
    <row r="63" spans="1:12" x14ac:dyDescent="0.25">
      <c r="A63" s="12"/>
      <c r="B63" s="15" t="s">
        <v>124</v>
      </c>
      <c r="C63" s="20" t="s">
        <v>44</v>
      </c>
      <c r="D63" s="17" t="s">
        <v>125</v>
      </c>
      <c r="E63" s="18">
        <f t="shared" si="0"/>
        <v>0</v>
      </c>
      <c r="F63" s="21"/>
      <c r="G63" s="21"/>
      <c r="H63" s="21"/>
      <c r="I63" s="39"/>
      <c r="J63" s="13"/>
      <c r="K63" s="19"/>
      <c r="L63" s="14"/>
    </row>
    <row r="64" spans="1:12" x14ac:dyDescent="0.25">
      <c r="A64" s="12"/>
      <c r="B64" s="15" t="s">
        <v>126</v>
      </c>
      <c r="C64" s="40" t="s">
        <v>47</v>
      </c>
      <c r="D64" s="17" t="s">
        <v>127</v>
      </c>
      <c r="E64" s="18">
        <f t="shared" si="0"/>
        <v>0</v>
      </c>
      <c r="F64" s="21"/>
      <c r="G64" s="21"/>
      <c r="H64" s="21"/>
      <c r="I64" s="21"/>
      <c r="J64" s="13"/>
      <c r="K64" s="19"/>
      <c r="L64" s="14"/>
    </row>
    <row r="65" spans="1:12" x14ac:dyDescent="0.25">
      <c r="A65" s="12"/>
      <c r="B65" s="15" t="s">
        <v>128</v>
      </c>
      <c r="C65" s="16" t="s">
        <v>50</v>
      </c>
      <c r="D65" s="41" t="s">
        <v>129</v>
      </c>
      <c r="E65" s="18">
        <f t="shared" si="0"/>
        <v>8.8566106321839086</v>
      </c>
      <c r="F65" s="18">
        <f>F66+F68+F71+F75</f>
        <v>0</v>
      </c>
      <c r="G65" s="18">
        <f>G66+G68+G71+G75</f>
        <v>6.3710790229885053</v>
      </c>
      <c r="H65" s="18">
        <f>H66+H68+H71+H75</f>
        <v>1.5543721264367818</v>
      </c>
      <c r="I65" s="18">
        <f>I66+I68+I71+I75</f>
        <v>0.9311594827586207</v>
      </c>
      <c r="J65" s="13"/>
      <c r="K65" s="19"/>
      <c r="L65" s="14"/>
    </row>
    <row r="66" spans="1:12" ht="22.5" x14ac:dyDescent="0.25">
      <c r="A66" s="12"/>
      <c r="B66" s="15" t="s">
        <v>130</v>
      </c>
      <c r="C66" s="20" t="s">
        <v>53</v>
      </c>
      <c r="D66" s="17" t="s">
        <v>131</v>
      </c>
      <c r="E66" s="18">
        <f t="shared" si="0"/>
        <v>0</v>
      </c>
      <c r="F66" s="21"/>
      <c r="G66" s="21"/>
      <c r="H66" s="21"/>
      <c r="I66" s="21"/>
      <c r="J66" s="13"/>
      <c r="K66" s="19"/>
      <c r="L66" s="14"/>
    </row>
    <row r="67" spans="1:12" x14ac:dyDescent="0.25">
      <c r="A67" s="12"/>
      <c r="B67" s="15" t="s">
        <v>132</v>
      </c>
      <c r="C67" s="42" t="s">
        <v>56</v>
      </c>
      <c r="D67" s="17" t="s">
        <v>133</v>
      </c>
      <c r="E67" s="18">
        <f t="shared" si="0"/>
        <v>0</v>
      </c>
      <c r="F67" s="21"/>
      <c r="G67" s="21"/>
      <c r="H67" s="21"/>
      <c r="I67" s="21"/>
      <c r="J67" s="13"/>
      <c r="K67" s="19"/>
      <c r="L67" s="14"/>
    </row>
    <row r="68" spans="1:12" x14ac:dyDescent="0.25">
      <c r="A68" s="12"/>
      <c r="B68" s="15" t="s">
        <v>134</v>
      </c>
      <c r="C68" s="20" t="s">
        <v>59</v>
      </c>
      <c r="D68" s="17" t="s">
        <v>135</v>
      </c>
      <c r="E68" s="18">
        <f t="shared" si="0"/>
        <v>3.444755747126437</v>
      </c>
      <c r="F68" s="21"/>
      <c r="G68" s="21">
        <f>G30/696</f>
        <v>0.95922413793103445</v>
      </c>
      <c r="H68" s="21">
        <f>H30/696</f>
        <v>1.5543721264367818</v>
      </c>
      <c r="I68" s="21">
        <f>I30/696</f>
        <v>0.9311594827586207</v>
      </c>
      <c r="J68" s="13"/>
      <c r="K68" s="19"/>
      <c r="L68" s="14"/>
    </row>
    <row r="69" spans="1:12" x14ac:dyDescent="0.25">
      <c r="A69" s="12"/>
      <c r="B69" s="15" t="s">
        <v>136</v>
      </c>
      <c r="C69" s="42" t="s">
        <v>62</v>
      </c>
      <c r="D69" s="17" t="s">
        <v>137</v>
      </c>
      <c r="E69" s="18">
        <f t="shared" si="0"/>
        <v>0</v>
      </c>
      <c r="F69" s="21"/>
      <c r="G69" s="21"/>
      <c r="H69" s="21"/>
      <c r="I69" s="21"/>
      <c r="J69" s="13"/>
      <c r="K69" s="19"/>
      <c r="L69" s="14"/>
    </row>
    <row r="70" spans="1:12" x14ac:dyDescent="0.25">
      <c r="A70" s="12"/>
      <c r="B70" s="15" t="s">
        <v>138</v>
      </c>
      <c r="C70" s="43" t="s">
        <v>56</v>
      </c>
      <c r="D70" s="17" t="s">
        <v>139</v>
      </c>
      <c r="E70" s="18">
        <f t="shared" si="0"/>
        <v>0</v>
      </c>
      <c r="F70" s="21"/>
      <c r="G70" s="21"/>
      <c r="H70" s="21"/>
      <c r="I70" s="21"/>
      <c r="J70" s="13"/>
      <c r="K70" s="19"/>
      <c r="L70" s="14"/>
    </row>
    <row r="71" spans="1:12" x14ac:dyDescent="0.25">
      <c r="A71" s="12"/>
      <c r="B71" s="15" t="s">
        <v>140</v>
      </c>
      <c r="C71" s="20" t="s">
        <v>67</v>
      </c>
      <c r="D71" s="17" t="s">
        <v>141</v>
      </c>
      <c r="E71" s="18">
        <f t="shared" si="0"/>
        <v>5.4118548850574708</v>
      </c>
      <c r="F71" s="18">
        <f>SUM(F72:F74)</f>
        <v>0</v>
      </c>
      <c r="G71" s="18">
        <f>SUM(G72:G74)</f>
        <v>5.4118548850574708</v>
      </c>
      <c r="H71" s="18">
        <f>SUM(H72:H74)</f>
        <v>0</v>
      </c>
      <c r="I71" s="18">
        <f>SUM(I72:I74)</f>
        <v>0</v>
      </c>
      <c r="J71" s="13"/>
      <c r="K71" s="19"/>
      <c r="L71" s="14"/>
    </row>
    <row r="72" spans="1:12" x14ac:dyDescent="0.25">
      <c r="A72" s="12"/>
      <c r="B72" s="22" t="s">
        <v>142</v>
      </c>
      <c r="C72" s="23"/>
      <c r="D72" s="24" t="s">
        <v>141</v>
      </c>
      <c r="E72" s="25"/>
      <c r="F72" s="25"/>
      <c r="G72" s="25"/>
      <c r="H72" s="25"/>
      <c r="I72" s="25"/>
      <c r="J72" s="13"/>
      <c r="K72" s="19"/>
      <c r="L72" s="14"/>
    </row>
    <row r="73" spans="1:12" x14ac:dyDescent="0.25">
      <c r="A73" s="30" t="s">
        <v>29</v>
      </c>
      <c r="B73" s="31" t="s">
        <v>143</v>
      </c>
      <c r="C73" s="32" t="s">
        <v>71</v>
      </c>
      <c r="D73" s="33">
        <v>1781</v>
      </c>
      <c r="E73" s="34">
        <f>SUM(F73:I73)</f>
        <v>5.4118548850574708</v>
      </c>
      <c r="F73" s="35"/>
      <c r="G73" s="35">
        <f>G35/696</f>
        <v>5.4118548850574708</v>
      </c>
      <c r="H73" s="35"/>
      <c r="I73" s="36"/>
      <c r="J73" s="13"/>
      <c r="K73" s="37" t="s">
        <v>72</v>
      </c>
      <c r="L73" s="38" t="s">
        <v>73</v>
      </c>
    </row>
    <row r="74" spans="1:12" x14ac:dyDescent="0.25">
      <c r="A74" s="12"/>
      <c r="B74" s="26"/>
      <c r="C74" s="27" t="s">
        <v>20</v>
      </c>
      <c r="D74" s="28"/>
      <c r="E74" s="28"/>
      <c r="F74" s="28"/>
      <c r="G74" s="28"/>
      <c r="H74" s="28"/>
      <c r="I74" s="29"/>
      <c r="J74" s="13"/>
      <c r="K74" s="19"/>
      <c r="L74" s="14"/>
    </row>
    <row r="75" spans="1:12" x14ac:dyDescent="0.25">
      <c r="A75" s="12"/>
      <c r="B75" s="15" t="s">
        <v>144</v>
      </c>
      <c r="C75" s="45" t="s">
        <v>75</v>
      </c>
      <c r="D75" s="17" t="s">
        <v>145</v>
      </c>
      <c r="E75" s="18">
        <f t="shared" si="0"/>
        <v>0</v>
      </c>
      <c r="F75" s="21"/>
      <c r="G75" s="21"/>
      <c r="H75" s="21"/>
      <c r="I75" s="21"/>
      <c r="J75" s="13"/>
      <c r="K75" s="19"/>
      <c r="L75" s="14"/>
    </row>
    <row r="76" spans="1:12" x14ac:dyDescent="0.25">
      <c r="A76" s="12"/>
      <c r="B76" s="15" t="s">
        <v>146</v>
      </c>
      <c r="C76" s="16" t="s">
        <v>78</v>
      </c>
      <c r="D76" s="17" t="s">
        <v>147</v>
      </c>
      <c r="E76" s="18">
        <f t="shared" si="0"/>
        <v>3.2158928160919551</v>
      </c>
      <c r="F76" s="21">
        <f>F38/696</f>
        <v>0.95964252873563216</v>
      </c>
      <c r="G76" s="21">
        <f>G38/696</f>
        <v>1.2782442528735638</v>
      </c>
      <c r="H76" s="21">
        <f>H38/696</f>
        <v>0.97800603448275925</v>
      </c>
      <c r="I76" s="21"/>
      <c r="J76" s="13"/>
      <c r="K76" s="19"/>
      <c r="L76" s="14"/>
    </row>
    <row r="77" spans="1:12" x14ac:dyDescent="0.25">
      <c r="A77" s="12"/>
      <c r="B77" s="15" t="s">
        <v>148</v>
      </c>
      <c r="C77" s="16" t="s">
        <v>81</v>
      </c>
      <c r="D77" s="17" t="s">
        <v>149</v>
      </c>
      <c r="E77" s="18">
        <f t="shared" si="0"/>
        <v>0</v>
      </c>
      <c r="F77" s="21"/>
      <c r="G77" s="21"/>
      <c r="H77" s="21"/>
      <c r="I77" s="21"/>
      <c r="J77" s="13"/>
      <c r="K77" s="19"/>
      <c r="L77" s="14"/>
    </row>
    <row r="78" spans="1:12" x14ac:dyDescent="0.25">
      <c r="A78" s="12"/>
      <c r="B78" s="15" t="s">
        <v>150</v>
      </c>
      <c r="C78" s="16" t="s">
        <v>84</v>
      </c>
      <c r="D78" s="17" t="s">
        <v>151</v>
      </c>
      <c r="E78" s="18">
        <f t="shared" si="0"/>
        <v>0</v>
      </c>
      <c r="F78" s="21"/>
      <c r="G78" s="21"/>
      <c r="H78" s="21"/>
      <c r="I78" s="21"/>
      <c r="J78" s="13"/>
      <c r="K78" s="19"/>
      <c r="L78" s="14"/>
    </row>
    <row r="79" spans="1:12" x14ac:dyDescent="0.25">
      <c r="A79" s="12"/>
      <c r="B79" s="15" t="s">
        <v>152</v>
      </c>
      <c r="C79" s="16" t="s">
        <v>87</v>
      </c>
      <c r="D79" s="17" t="s">
        <v>153</v>
      </c>
      <c r="E79" s="18">
        <f t="shared" si="0"/>
        <v>0.1722396551724138</v>
      </c>
      <c r="F79" s="21">
        <f>F41/696</f>
        <v>7.5402298850574723E-4</v>
      </c>
      <c r="G79" s="21">
        <f>G41/696</f>
        <v>8.4795977011494258E-2</v>
      </c>
      <c r="H79" s="21">
        <f>H41/696</f>
        <v>3.98433908045977E-2</v>
      </c>
      <c r="I79" s="21">
        <f>I41/696</f>
        <v>4.6846264367816089E-2</v>
      </c>
      <c r="J79" s="13"/>
      <c r="K79" s="19"/>
      <c r="L79" s="14"/>
    </row>
    <row r="80" spans="1:12" x14ac:dyDescent="0.25">
      <c r="A80" s="12"/>
      <c r="B80" s="15" t="s">
        <v>154</v>
      </c>
      <c r="C80" s="20" t="s">
        <v>155</v>
      </c>
      <c r="D80" s="17" t="s">
        <v>156</v>
      </c>
      <c r="E80" s="18">
        <f t="shared" si="0"/>
        <v>0</v>
      </c>
      <c r="F80" s="21"/>
      <c r="G80" s="21"/>
      <c r="H80" s="21"/>
      <c r="I80" s="21"/>
      <c r="J80" s="13"/>
      <c r="K80" s="19"/>
      <c r="L80" s="14"/>
    </row>
    <row r="81" spans="1:12" ht="22.5" x14ac:dyDescent="0.25">
      <c r="A81" s="12"/>
      <c r="B81" s="15" t="s">
        <v>157</v>
      </c>
      <c r="C81" s="16" t="s">
        <v>93</v>
      </c>
      <c r="D81" s="17" t="s">
        <v>158</v>
      </c>
      <c r="E81" s="18">
        <f t="shared" si="0"/>
        <v>0.30890804597701149</v>
      </c>
      <c r="F81" s="21"/>
      <c r="G81" s="21">
        <f>G43/696</f>
        <v>7.6239673381763823E-2</v>
      </c>
      <c r="H81" s="21">
        <f>H43/696</f>
        <v>0.10165289784235176</v>
      </c>
      <c r="I81" s="21">
        <f>I43/696</f>
        <v>0.13101547475289593</v>
      </c>
      <c r="J81" s="13"/>
      <c r="K81" s="19"/>
      <c r="L81" s="14"/>
    </row>
    <row r="82" spans="1:12" ht="33.75" x14ac:dyDescent="0.25">
      <c r="A82" s="12"/>
      <c r="B82" s="15" t="s">
        <v>159</v>
      </c>
      <c r="C82" s="40" t="s">
        <v>96</v>
      </c>
      <c r="D82" s="17" t="s">
        <v>160</v>
      </c>
      <c r="E82" s="18">
        <f t="shared" si="0"/>
        <v>-0.13666839080459772</v>
      </c>
      <c r="F82" s="18">
        <f>F79-F81</f>
        <v>7.5402298850574723E-4</v>
      </c>
      <c r="G82" s="18">
        <f>G79-G81</f>
        <v>8.5563036297304357E-3</v>
      </c>
      <c r="H82" s="18">
        <f>H79-H81</f>
        <v>-6.1809507037754063E-2</v>
      </c>
      <c r="I82" s="18">
        <f>I79-I81</f>
        <v>-8.4169210385079851E-2</v>
      </c>
      <c r="J82" s="13"/>
      <c r="K82" s="19"/>
      <c r="L82" s="14"/>
    </row>
    <row r="83" spans="1:12" x14ac:dyDescent="0.25">
      <c r="A83" s="12"/>
      <c r="B83" s="15" t="s">
        <v>161</v>
      </c>
      <c r="C83" s="16" t="s">
        <v>99</v>
      </c>
      <c r="D83" s="17" t="s">
        <v>162</v>
      </c>
      <c r="E83" s="18">
        <f t="shared" si="0"/>
        <v>2.8735632240373121E-7</v>
      </c>
      <c r="F83" s="18">
        <f>(F47+F59+F64)-(F65+F76+F77+F78+F79)</f>
        <v>0</v>
      </c>
      <c r="G83" s="18">
        <f>(G47+G59+G64)-(G65+G76+G77+G78+G79)</f>
        <v>0</v>
      </c>
      <c r="H83" s="18">
        <f>(H47+H59+H64)-(H65+H76+H77+H78+H79)</f>
        <v>0</v>
      </c>
      <c r="I83" s="18">
        <f>(I47+I59+I64)-(I65+I76+I77+I78+I79)</f>
        <v>2.8735632240373121E-7</v>
      </c>
      <c r="J83" s="13"/>
      <c r="K83" s="19"/>
      <c r="L83" s="14"/>
    </row>
    <row r="84" spans="1:12" x14ac:dyDescent="0.25">
      <c r="A84" s="12"/>
      <c r="B84" s="111" t="s">
        <v>163</v>
      </c>
      <c r="C84" s="112"/>
      <c r="D84" s="112"/>
      <c r="E84" s="112"/>
      <c r="F84" s="112"/>
      <c r="G84" s="112"/>
      <c r="H84" s="112"/>
      <c r="I84" s="113"/>
      <c r="J84" s="13"/>
      <c r="K84" s="19"/>
      <c r="L84" s="14"/>
    </row>
    <row r="85" spans="1:12" x14ac:dyDescent="0.25">
      <c r="A85" s="12"/>
      <c r="B85" s="15" t="s">
        <v>164</v>
      </c>
      <c r="C85" s="16" t="s">
        <v>165</v>
      </c>
      <c r="D85" s="17" t="s">
        <v>166</v>
      </c>
      <c r="E85" s="18">
        <f t="shared" si="0"/>
        <v>0</v>
      </c>
      <c r="F85" s="21"/>
      <c r="G85" s="21"/>
      <c r="H85" s="21"/>
      <c r="I85" s="21"/>
      <c r="J85" s="13"/>
      <c r="K85" s="19"/>
      <c r="L85" s="14"/>
    </row>
    <row r="86" spans="1:12" x14ac:dyDescent="0.25">
      <c r="A86" s="12"/>
      <c r="B86" s="15" t="s">
        <v>167</v>
      </c>
      <c r="C86" s="16" t="s">
        <v>168</v>
      </c>
      <c r="D86" s="17" t="s">
        <v>169</v>
      </c>
      <c r="E86" s="18">
        <f t="shared" si="0"/>
        <v>25.006</v>
      </c>
      <c r="F86" s="21"/>
      <c r="G86" s="21">
        <v>25.006</v>
      </c>
      <c r="H86" s="21"/>
      <c r="I86" s="21"/>
      <c r="J86" s="13"/>
      <c r="K86" s="19"/>
      <c r="L86" s="14"/>
    </row>
    <row r="87" spans="1:12" x14ac:dyDescent="0.25">
      <c r="A87" s="12"/>
      <c r="B87" s="15" t="s">
        <v>170</v>
      </c>
      <c r="C87" s="16" t="s">
        <v>171</v>
      </c>
      <c r="D87" s="17" t="s">
        <v>172</v>
      </c>
      <c r="E87" s="18">
        <f t="shared" si="0"/>
        <v>0</v>
      </c>
      <c r="F87" s="21"/>
      <c r="G87" s="21"/>
      <c r="H87" s="21"/>
      <c r="I87" s="21"/>
      <c r="J87" s="13"/>
      <c r="K87" s="19"/>
      <c r="L87" s="14"/>
    </row>
    <row r="88" spans="1:12" x14ac:dyDescent="0.25">
      <c r="A88" s="12"/>
      <c r="B88" s="111" t="s">
        <v>173</v>
      </c>
      <c r="C88" s="112"/>
      <c r="D88" s="112"/>
      <c r="E88" s="112"/>
      <c r="F88" s="112"/>
      <c r="G88" s="112"/>
      <c r="H88" s="112"/>
      <c r="I88" s="113"/>
      <c r="J88" s="13"/>
      <c r="K88" s="19"/>
      <c r="L88" s="14"/>
    </row>
    <row r="89" spans="1:12" x14ac:dyDescent="0.25">
      <c r="A89" s="12"/>
      <c r="B89" s="15" t="s">
        <v>174</v>
      </c>
      <c r="C89" s="16" t="s">
        <v>175</v>
      </c>
      <c r="D89" s="17" t="s">
        <v>176</v>
      </c>
      <c r="E89" s="18">
        <f t="shared" si="0"/>
        <v>0</v>
      </c>
      <c r="F89" s="18">
        <f>SUM(F90:F91)</f>
        <v>0</v>
      </c>
      <c r="G89" s="18">
        <f>SUM(G90:G91)</f>
        <v>0</v>
      </c>
      <c r="H89" s="18">
        <f>SUM(H90:H91)</f>
        <v>0</v>
      </c>
      <c r="I89" s="18">
        <f>SUM(I90:I91)</f>
        <v>0</v>
      </c>
      <c r="J89" s="13"/>
      <c r="K89" s="19"/>
      <c r="L89" s="14"/>
    </row>
    <row r="90" spans="1:12" x14ac:dyDescent="0.25">
      <c r="A90" s="2"/>
      <c r="B90" s="47" t="s">
        <v>177</v>
      </c>
      <c r="C90" s="20" t="s">
        <v>178</v>
      </c>
      <c r="D90" s="17" t="s">
        <v>179</v>
      </c>
      <c r="E90" s="18">
        <f t="shared" si="0"/>
        <v>0</v>
      </c>
      <c r="F90" s="48"/>
      <c r="G90" s="48"/>
      <c r="H90" s="48"/>
      <c r="I90" s="48"/>
      <c r="J90" s="8"/>
      <c r="K90" s="19"/>
      <c r="L90" s="1"/>
    </row>
    <row r="91" spans="1:12" x14ac:dyDescent="0.25">
      <c r="A91" s="2"/>
      <c r="B91" s="47" t="s">
        <v>180</v>
      </c>
      <c r="C91" s="20" t="s">
        <v>181</v>
      </c>
      <c r="D91" s="17" t="s">
        <v>182</v>
      </c>
      <c r="E91" s="18">
        <f t="shared" si="0"/>
        <v>0</v>
      </c>
      <c r="F91" s="49">
        <f>F94</f>
        <v>0</v>
      </c>
      <c r="G91" s="49">
        <f>G94</f>
        <v>0</v>
      </c>
      <c r="H91" s="49">
        <f>H94</f>
        <v>0</v>
      </c>
      <c r="I91" s="49">
        <f>I94</f>
        <v>0</v>
      </c>
      <c r="J91" s="8"/>
      <c r="K91" s="19"/>
      <c r="L91" s="1"/>
    </row>
    <row r="92" spans="1:12" x14ac:dyDescent="0.25">
      <c r="A92" s="2"/>
      <c r="B92" s="47" t="s">
        <v>183</v>
      </c>
      <c r="C92" s="42" t="s">
        <v>184</v>
      </c>
      <c r="D92" s="17" t="s">
        <v>185</v>
      </c>
      <c r="E92" s="18">
        <f t="shared" si="0"/>
        <v>0</v>
      </c>
      <c r="F92" s="48"/>
      <c r="G92" s="48"/>
      <c r="H92" s="48"/>
      <c r="I92" s="48"/>
      <c r="J92" s="8"/>
      <c r="K92" s="19"/>
      <c r="L92" s="1"/>
    </row>
    <row r="93" spans="1:12" x14ac:dyDescent="0.25">
      <c r="A93" s="2"/>
      <c r="B93" s="47" t="s">
        <v>186</v>
      </c>
      <c r="C93" s="43" t="s">
        <v>187</v>
      </c>
      <c r="D93" s="17" t="s">
        <v>188</v>
      </c>
      <c r="E93" s="18">
        <f t="shared" si="0"/>
        <v>0</v>
      </c>
      <c r="F93" s="48"/>
      <c r="G93" s="48"/>
      <c r="H93" s="48"/>
      <c r="I93" s="48"/>
      <c r="J93" s="8"/>
      <c r="K93" s="19"/>
      <c r="L93" s="1"/>
    </row>
    <row r="94" spans="1:12" x14ac:dyDescent="0.25">
      <c r="A94" s="2"/>
      <c r="B94" s="47" t="s">
        <v>189</v>
      </c>
      <c r="C94" s="42" t="s">
        <v>190</v>
      </c>
      <c r="D94" s="17" t="s">
        <v>191</v>
      </c>
      <c r="E94" s="18">
        <f t="shared" si="0"/>
        <v>0</v>
      </c>
      <c r="F94" s="48"/>
      <c r="G94" s="48"/>
      <c r="H94" s="48"/>
      <c r="I94" s="48"/>
      <c r="J94" s="8"/>
      <c r="K94" s="19"/>
      <c r="L94" s="1"/>
    </row>
    <row r="95" spans="1:12" x14ac:dyDescent="0.25">
      <c r="A95" s="2"/>
      <c r="B95" s="47" t="s">
        <v>192</v>
      </c>
      <c r="C95" s="16" t="s">
        <v>193</v>
      </c>
      <c r="D95" s="17" t="s">
        <v>194</v>
      </c>
      <c r="E95" s="18">
        <f t="shared" si="0"/>
        <v>0</v>
      </c>
      <c r="F95" s="49">
        <f>F96+F112</f>
        <v>0</v>
      </c>
      <c r="G95" s="49">
        <f>G96+G112</f>
        <v>0</v>
      </c>
      <c r="H95" s="49">
        <f>H96+H112</f>
        <v>0</v>
      </c>
      <c r="I95" s="49">
        <f>I96+I112</f>
        <v>0</v>
      </c>
      <c r="J95" s="8"/>
      <c r="K95" s="19"/>
      <c r="L95" s="1"/>
    </row>
    <row r="96" spans="1:12" x14ac:dyDescent="0.25">
      <c r="A96" s="2"/>
      <c r="B96" s="47" t="s">
        <v>195</v>
      </c>
      <c r="C96" s="20" t="s">
        <v>196</v>
      </c>
      <c r="D96" s="17" t="s">
        <v>197</v>
      </c>
      <c r="E96" s="18">
        <f t="shared" si="0"/>
        <v>0</v>
      </c>
      <c r="F96" s="49">
        <f>F97+F98</f>
        <v>0</v>
      </c>
      <c r="G96" s="49">
        <f>G97+G98</f>
        <v>0</v>
      </c>
      <c r="H96" s="49">
        <f>H97+H98</f>
        <v>0</v>
      </c>
      <c r="I96" s="49">
        <f>I97+I98</f>
        <v>0</v>
      </c>
      <c r="J96" s="8"/>
      <c r="K96" s="19"/>
      <c r="L96" s="1"/>
    </row>
    <row r="97" spans="1:12" x14ac:dyDescent="0.25">
      <c r="A97" s="2"/>
      <c r="B97" s="47" t="s">
        <v>198</v>
      </c>
      <c r="C97" s="42" t="s">
        <v>199</v>
      </c>
      <c r="D97" s="17" t="s">
        <v>200</v>
      </c>
      <c r="E97" s="18">
        <f t="shared" si="0"/>
        <v>0</v>
      </c>
      <c r="F97" s="48"/>
      <c r="G97" s="48"/>
      <c r="H97" s="48"/>
      <c r="I97" s="48"/>
      <c r="J97" s="8"/>
      <c r="K97" s="19"/>
      <c r="L97" s="1"/>
    </row>
    <row r="98" spans="1:12" x14ac:dyDescent="0.25">
      <c r="A98" s="2"/>
      <c r="B98" s="47" t="s">
        <v>201</v>
      </c>
      <c r="C98" s="42" t="s">
        <v>202</v>
      </c>
      <c r="D98" s="17" t="s">
        <v>203</v>
      </c>
      <c r="E98" s="18">
        <f t="shared" si="0"/>
        <v>0</v>
      </c>
      <c r="F98" s="49">
        <f>F99+F102+F105+F108+F109+F110+F111</f>
        <v>0</v>
      </c>
      <c r="G98" s="49">
        <f>G99+G102+G105+G108+G109+G110+G111</f>
        <v>0</v>
      </c>
      <c r="H98" s="49">
        <f>H99+H102+H105+H108+H109+H110+H111</f>
        <v>0</v>
      </c>
      <c r="I98" s="49">
        <f>I99+I102+I105+I108+I109+I110+I111</f>
        <v>0</v>
      </c>
      <c r="J98" s="8"/>
      <c r="K98" s="19"/>
      <c r="L98" s="1"/>
    </row>
    <row r="99" spans="1:12" ht="45" x14ac:dyDescent="0.25">
      <c r="A99" s="2"/>
      <c r="B99" s="47" t="s">
        <v>204</v>
      </c>
      <c r="C99" s="43" t="s">
        <v>205</v>
      </c>
      <c r="D99" s="17" t="s">
        <v>206</v>
      </c>
      <c r="E99" s="18">
        <f t="shared" si="0"/>
        <v>0</v>
      </c>
      <c r="F99" s="50">
        <f>F100+F101</f>
        <v>0</v>
      </c>
      <c r="G99" s="50">
        <f>G100+G101</f>
        <v>0</v>
      </c>
      <c r="H99" s="50">
        <f>H100+H101</f>
        <v>0</v>
      </c>
      <c r="I99" s="50">
        <f>I100+I101</f>
        <v>0</v>
      </c>
      <c r="J99" s="8"/>
      <c r="K99" s="19"/>
      <c r="L99" s="1"/>
    </row>
    <row r="100" spans="1:12" x14ac:dyDescent="0.25">
      <c r="A100" s="2"/>
      <c r="B100" s="47" t="s">
        <v>207</v>
      </c>
      <c r="C100" s="51" t="s">
        <v>208</v>
      </c>
      <c r="D100" s="17" t="s">
        <v>209</v>
      </c>
      <c r="E100" s="18">
        <f t="shared" si="0"/>
        <v>0</v>
      </c>
      <c r="F100" s="48"/>
      <c r="G100" s="48"/>
      <c r="H100" s="48"/>
      <c r="I100" s="48"/>
      <c r="J100" s="8"/>
      <c r="K100" s="19"/>
      <c r="L100" s="1"/>
    </row>
    <row r="101" spans="1:12" x14ac:dyDescent="0.25">
      <c r="A101" s="2"/>
      <c r="B101" s="47" t="s">
        <v>210</v>
      </c>
      <c r="C101" s="51" t="s">
        <v>211</v>
      </c>
      <c r="D101" s="17" t="s">
        <v>212</v>
      </c>
      <c r="E101" s="18">
        <f t="shared" si="0"/>
        <v>0</v>
      </c>
      <c r="F101" s="48"/>
      <c r="G101" s="48"/>
      <c r="H101" s="48"/>
      <c r="I101" s="48"/>
      <c r="J101" s="8"/>
      <c r="K101" s="19"/>
      <c r="L101" s="1"/>
    </row>
    <row r="102" spans="1:12" ht="45" x14ac:dyDescent="0.25">
      <c r="A102" s="2"/>
      <c r="B102" s="47" t="s">
        <v>213</v>
      </c>
      <c r="C102" s="43" t="s">
        <v>214</v>
      </c>
      <c r="D102" s="17" t="s">
        <v>215</v>
      </c>
      <c r="E102" s="18">
        <f t="shared" si="0"/>
        <v>0</v>
      </c>
      <c r="F102" s="50">
        <f>F103+F104</f>
        <v>0</v>
      </c>
      <c r="G102" s="50">
        <f>G103+G104</f>
        <v>0</v>
      </c>
      <c r="H102" s="50">
        <f>H103+H104</f>
        <v>0</v>
      </c>
      <c r="I102" s="50">
        <f>I103+I104</f>
        <v>0</v>
      </c>
      <c r="J102" s="8"/>
      <c r="K102" s="19"/>
      <c r="L102" s="1"/>
    </row>
    <row r="103" spans="1:12" x14ac:dyDescent="0.25">
      <c r="A103" s="2"/>
      <c r="B103" s="47" t="s">
        <v>216</v>
      </c>
      <c r="C103" s="51" t="s">
        <v>208</v>
      </c>
      <c r="D103" s="17" t="s">
        <v>217</v>
      </c>
      <c r="E103" s="18">
        <f t="shared" si="0"/>
        <v>0</v>
      </c>
      <c r="F103" s="48"/>
      <c r="G103" s="48"/>
      <c r="H103" s="48"/>
      <c r="I103" s="48"/>
      <c r="J103" s="8"/>
      <c r="K103" s="19"/>
      <c r="L103" s="1"/>
    </row>
    <row r="104" spans="1:12" x14ac:dyDescent="0.25">
      <c r="A104" s="2"/>
      <c r="B104" s="47" t="s">
        <v>218</v>
      </c>
      <c r="C104" s="51" t="s">
        <v>211</v>
      </c>
      <c r="D104" s="17" t="s">
        <v>219</v>
      </c>
      <c r="E104" s="18">
        <f t="shared" si="0"/>
        <v>0</v>
      </c>
      <c r="F104" s="48"/>
      <c r="G104" s="48"/>
      <c r="H104" s="48"/>
      <c r="I104" s="48"/>
      <c r="J104" s="8"/>
      <c r="K104" s="19"/>
      <c r="L104" s="1"/>
    </row>
    <row r="105" spans="1:12" ht="22.5" x14ac:dyDescent="0.25">
      <c r="A105" s="2"/>
      <c r="B105" s="47" t="s">
        <v>220</v>
      </c>
      <c r="C105" s="43" t="s">
        <v>221</v>
      </c>
      <c r="D105" s="17" t="s">
        <v>222</v>
      </c>
      <c r="E105" s="18">
        <f t="shared" si="0"/>
        <v>0</v>
      </c>
      <c r="F105" s="50">
        <f>F106+F107</f>
        <v>0</v>
      </c>
      <c r="G105" s="50">
        <f>G106+G107</f>
        <v>0</v>
      </c>
      <c r="H105" s="50">
        <f>H106+H107</f>
        <v>0</v>
      </c>
      <c r="I105" s="50">
        <f>I106+I107</f>
        <v>0</v>
      </c>
      <c r="J105" s="8"/>
      <c r="K105" s="19"/>
      <c r="L105" s="1"/>
    </row>
    <row r="106" spans="1:12" x14ac:dyDescent="0.25">
      <c r="A106" s="2"/>
      <c r="B106" s="47" t="s">
        <v>223</v>
      </c>
      <c r="C106" s="51" t="s">
        <v>208</v>
      </c>
      <c r="D106" s="17" t="s">
        <v>224</v>
      </c>
      <c r="E106" s="18">
        <f t="shared" si="0"/>
        <v>0</v>
      </c>
      <c r="F106" s="48"/>
      <c r="G106" s="48"/>
      <c r="H106" s="48"/>
      <c r="I106" s="48"/>
      <c r="J106" s="8"/>
      <c r="K106" s="19"/>
      <c r="L106" s="1"/>
    </row>
    <row r="107" spans="1:12" x14ac:dyDescent="0.25">
      <c r="A107" s="2"/>
      <c r="B107" s="47" t="s">
        <v>225</v>
      </c>
      <c r="C107" s="51" t="s">
        <v>211</v>
      </c>
      <c r="D107" s="17" t="s">
        <v>226</v>
      </c>
      <c r="E107" s="18">
        <f t="shared" si="0"/>
        <v>0</v>
      </c>
      <c r="F107" s="48"/>
      <c r="G107" s="48"/>
      <c r="H107" s="48"/>
      <c r="I107" s="48"/>
      <c r="J107" s="8"/>
      <c r="K107" s="19"/>
      <c r="L107" s="1"/>
    </row>
    <row r="108" spans="1:12" ht="22.5" x14ac:dyDescent="0.25">
      <c r="A108" s="2"/>
      <c r="B108" s="47" t="s">
        <v>227</v>
      </c>
      <c r="C108" s="43" t="s">
        <v>228</v>
      </c>
      <c r="D108" s="17" t="s">
        <v>229</v>
      </c>
      <c r="E108" s="18">
        <f t="shared" si="0"/>
        <v>0</v>
      </c>
      <c r="F108" s="48"/>
      <c r="G108" s="48"/>
      <c r="H108" s="48"/>
      <c r="I108" s="48"/>
      <c r="J108" s="8"/>
      <c r="K108" s="19"/>
      <c r="L108" s="1"/>
    </row>
    <row r="109" spans="1:12" x14ac:dyDescent="0.25">
      <c r="A109" s="2"/>
      <c r="B109" s="47" t="s">
        <v>230</v>
      </c>
      <c r="C109" s="43" t="s">
        <v>231</v>
      </c>
      <c r="D109" s="17" t="s">
        <v>232</v>
      </c>
      <c r="E109" s="18">
        <f t="shared" si="0"/>
        <v>0</v>
      </c>
      <c r="F109" s="48"/>
      <c r="G109" s="48"/>
      <c r="H109" s="48"/>
      <c r="I109" s="48"/>
      <c r="J109" s="8"/>
      <c r="K109" s="19"/>
      <c r="L109" s="1"/>
    </row>
    <row r="110" spans="1:12" ht="45" x14ac:dyDescent="0.25">
      <c r="A110" s="2"/>
      <c r="B110" s="47" t="s">
        <v>233</v>
      </c>
      <c r="C110" s="43" t="s">
        <v>234</v>
      </c>
      <c r="D110" s="17" t="s">
        <v>235</v>
      </c>
      <c r="E110" s="18">
        <f t="shared" si="0"/>
        <v>0</v>
      </c>
      <c r="F110" s="48"/>
      <c r="G110" s="48"/>
      <c r="H110" s="48"/>
      <c r="I110" s="48"/>
      <c r="J110" s="8"/>
      <c r="K110" s="19"/>
      <c r="L110" s="1"/>
    </row>
    <row r="111" spans="1:12" ht="22.5" x14ac:dyDescent="0.25">
      <c r="A111" s="2"/>
      <c r="B111" s="47" t="s">
        <v>236</v>
      </c>
      <c r="C111" s="43" t="s">
        <v>237</v>
      </c>
      <c r="D111" s="17" t="s">
        <v>238</v>
      </c>
      <c r="E111" s="18">
        <f t="shared" si="0"/>
        <v>0</v>
      </c>
      <c r="F111" s="48"/>
      <c r="G111" s="48"/>
      <c r="H111" s="48"/>
      <c r="I111" s="48"/>
      <c r="J111" s="8"/>
      <c r="K111" s="19"/>
      <c r="L111" s="1"/>
    </row>
    <row r="112" spans="1:12" x14ac:dyDescent="0.25">
      <c r="A112" s="2"/>
      <c r="B112" s="47" t="s">
        <v>239</v>
      </c>
      <c r="C112" s="20" t="s">
        <v>240</v>
      </c>
      <c r="D112" s="17" t="s">
        <v>241</v>
      </c>
      <c r="E112" s="18">
        <f t="shared" si="0"/>
        <v>0</v>
      </c>
      <c r="F112" s="49">
        <f>F115</f>
        <v>0</v>
      </c>
      <c r="G112" s="49">
        <f>G115</f>
        <v>0</v>
      </c>
      <c r="H112" s="49">
        <f>H115</f>
        <v>0</v>
      </c>
      <c r="I112" s="49">
        <f>I115</f>
        <v>0</v>
      </c>
      <c r="J112" s="8"/>
      <c r="K112" s="19"/>
      <c r="L112" s="1"/>
    </row>
    <row r="113" spans="1:12" x14ac:dyDescent="0.25">
      <c r="A113" s="2"/>
      <c r="B113" s="47" t="s">
        <v>242</v>
      </c>
      <c r="C113" s="42" t="s">
        <v>184</v>
      </c>
      <c r="D113" s="17" t="s">
        <v>243</v>
      </c>
      <c r="E113" s="18">
        <f t="shared" si="0"/>
        <v>0</v>
      </c>
      <c r="F113" s="48"/>
      <c r="G113" s="48"/>
      <c r="H113" s="48"/>
      <c r="I113" s="48"/>
      <c r="J113" s="8"/>
      <c r="K113" s="19"/>
      <c r="L113" s="1"/>
    </row>
    <row r="114" spans="1:12" x14ac:dyDescent="0.25">
      <c r="A114" s="2"/>
      <c r="B114" s="47" t="s">
        <v>244</v>
      </c>
      <c r="C114" s="43" t="s">
        <v>245</v>
      </c>
      <c r="D114" s="17" t="s">
        <v>246</v>
      </c>
      <c r="E114" s="18">
        <f t="shared" si="0"/>
        <v>0</v>
      </c>
      <c r="F114" s="48"/>
      <c r="G114" s="48"/>
      <c r="H114" s="48"/>
      <c r="I114" s="48"/>
      <c r="J114" s="8"/>
      <c r="K114" s="19"/>
      <c r="L114" s="1"/>
    </row>
    <row r="115" spans="1:12" x14ac:dyDescent="0.25">
      <c r="A115" s="2"/>
      <c r="B115" s="47" t="s">
        <v>247</v>
      </c>
      <c r="C115" s="42" t="s">
        <v>190</v>
      </c>
      <c r="D115" s="17" t="s">
        <v>248</v>
      </c>
      <c r="E115" s="18">
        <f t="shared" si="0"/>
        <v>0</v>
      </c>
      <c r="F115" s="48"/>
      <c r="G115" s="48"/>
      <c r="H115" s="48"/>
      <c r="I115" s="48"/>
      <c r="J115" s="8"/>
      <c r="K115" s="19"/>
      <c r="L115" s="1"/>
    </row>
    <row r="116" spans="1:12" ht="22.5" x14ac:dyDescent="0.25">
      <c r="A116" s="2"/>
      <c r="B116" s="47" t="s">
        <v>249</v>
      </c>
      <c r="C116" s="40" t="s">
        <v>250</v>
      </c>
      <c r="D116" s="17" t="s">
        <v>251</v>
      </c>
      <c r="E116" s="18">
        <f t="shared" si="0"/>
        <v>6284.0797999999995</v>
      </c>
      <c r="F116" s="49">
        <f>SUM(F117:F118)</f>
        <v>0.52480000000000004</v>
      </c>
      <c r="G116" s="49">
        <f>SUM(G117:G118)</f>
        <v>4553.6130000000003</v>
      </c>
      <c r="H116" s="49">
        <f>SUM(H117:H118)</f>
        <v>1081.855</v>
      </c>
      <c r="I116" s="49">
        <f>SUM(I117:I118)</f>
        <v>648.08699999999999</v>
      </c>
      <c r="J116" s="8"/>
      <c r="K116" s="19"/>
      <c r="L116" s="1"/>
    </row>
    <row r="117" spans="1:12" x14ac:dyDescent="0.25">
      <c r="A117" s="2"/>
      <c r="B117" s="47" t="s">
        <v>252</v>
      </c>
      <c r="C117" s="20" t="s">
        <v>178</v>
      </c>
      <c r="D117" s="17" t="s">
        <v>253</v>
      </c>
      <c r="E117" s="18">
        <f t="shared" si="0"/>
        <v>0</v>
      </c>
      <c r="F117" s="48"/>
      <c r="G117" s="48"/>
      <c r="H117" s="48"/>
      <c r="I117" s="48"/>
      <c r="J117" s="8"/>
      <c r="K117" s="19"/>
      <c r="L117" s="1"/>
    </row>
    <row r="118" spans="1:12" x14ac:dyDescent="0.25">
      <c r="A118" s="2"/>
      <c r="B118" s="47" t="s">
        <v>254</v>
      </c>
      <c r="C118" s="20" t="s">
        <v>181</v>
      </c>
      <c r="D118" s="17" t="s">
        <v>255</v>
      </c>
      <c r="E118" s="18">
        <f t="shared" si="0"/>
        <v>6284.0797999999995</v>
      </c>
      <c r="F118" s="49">
        <f>F120</f>
        <v>0.52480000000000004</v>
      </c>
      <c r="G118" s="49">
        <f>G120</f>
        <v>4553.6130000000003</v>
      </c>
      <c r="H118" s="49">
        <f>H120</f>
        <v>1081.855</v>
      </c>
      <c r="I118" s="49">
        <f>I120</f>
        <v>648.08699999999999</v>
      </c>
      <c r="J118" s="8"/>
      <c r="K118" s="19"/>
      <c r="L118" s="1"/>
    </row>
    <row r="119" spans="1:12" x14ac:dyDescent="0.25">
      <c r="A119" s="2"/>
      <c r="B119" s="47" t="s">
        <v>256</v>
      </c>
      <c r="C119" s="42" t="s">
        <v>257</v>
      </c>
      <c r="D119" s="17" t="s">
        <v>258</v>
      </c>
      <c r="E119" s="18">
        <f t="shared" si="0"/>
        <v>25.006</v>
      </c>
      <c r="F119" s="48"/>
      <c r="G119" s="48">
        <f>G86</f>
        <v>25.006</v>
      </c>
      <c r="H119" s="48"/>
      <c r="I119" s="48"/>
      <c r="J119" s="8"/>
      <c r="K119" s="19"/>
      <c r="L119" s="1"/>
    </row>
    <row r="120" spans="1:12" x14ac:dyDescent="0.25">
      <c r="A120" s="2"/>
      <c r="B120" s="47" t="s">
        <v>259</v>
      </c>
      <c r="C120" s="42" t="s">
        <v>190</v>
      </c>
      <c r="D120" s="17" t="s">
        <v>260</v>
      </c>
      <c r="E120" s="18">
        <f t="shared" si="0"/>
        <v>6284.0797999999995</v>
      </c>
      <c r="F120" s="48">
        <f>F41</f>
        <v>0.52480000000000004</v>
      </c>
      <c r="G120" s="48">
        <f>G27+E41-F41-0.012</f>
        <v>4553.6130000000003</v>
      </c>
      <c r="H120" s="48">
        <f>H27+0.012</f>
        <v>1081.855</v>
      </c>
      <c r="I120" s="48">
        <f>I27</f>
        <v>648.08699999999999</v>
      </c>
      <c r="J120" s="8"/>
      <c r="K120" s="19"/>
      <c r="L120" s="1"/>
    </row>
    <row r="121" spans="1:12" x14ac:dyDescent="0.25">
      <c r="A121" s="2"/>
      <c r="B121" s="111" t="s">
        <v>261</v>
      </c>
      <c r="C121" s="112"/>
      <c r="D121" s="112"/>
      <c r="E121" s="112"/>
      <c r="F121" s="112"/>
      <c r="G121" s="112"/>
      <c r="H121" s="112"/>
      <c r="I121" s="113"/>
      <c r="J121" s="8"/>
      <c r="K121" s="19"/>
      <c r="L121" s="1"/>
    </row>
    <row r="122" spans="1:12" ht="22.5" x14ac:dyDescent="0.25">
      <c r="A122" s="2"/>
      <c r="B122" s="47" t="s">
        <v>262</v>
      </c>
      <c r="C122" s="16" t="s">
        <v>263</v>
      </c>
      <c r="D122" s="17" t="s">
        <v>264</v>
      </c>
      <c r="E122" s="18">
        <f t="shared" si="0"/>
        <v>0</v>
      </c>
      <c r="F122" s="49">
        <f>SUM( F123:F124)</f>
        <v>0</v>
      </c>
      <c r="G122" s="49">
        <f>SUM( G123:G124)</f>
        <v>0</v>
      </c>
      <c r="H122" s="49">
        <f>SUM( H123:H124)</f>
        <v>0</v>
      </c>
      <c r="I122" s="49">
        <f>SUM( I123:I124)</f>
        <v>0</v>
      </c>
      <c r="J122" s="8"/>
      <c r="K122" s="19"/>
      <c r="L122" s="1"/>
    </row>
    <row r="123" spans="1:12" x14ac:dyDescent="0.25">
      <c r="A123" s="2"/>
      <c r="B123" s="47" t="s">
        <v>265</v>
      </c>
      <c r="C123" s="20" t="s">
        <v>178</v>
      </c>
      <c r="D123" s="17" t="s">
        <v>266</v>
      </c>
      <c r="E123" s="18">
        <f t="shared" si="0"/>
        <v>0</v>
      </c>
      <c r="F123" s="48"/>
      <c r="G123" s="48"/>
      <c r="H123" s="48"/>
      <c r="I123" s="48"/>
      <c r="J123" s="8"/>
      <c r="K123" s="19"/>
      <c r="L123" s="1"/>
    </row>
    <row r="124" spans="1:12" x14ac:dyDescent="0.25">
      <c r="A124" s="2"/>
      <c r="B124" s="47" t="s">
        <v>267</v>
      </c>
      <c r="C124" s="20" t="s">
        <v>181</v>
      </c>
      <c r="D124" s="17" t="s">
        <v>268</v>
      </c>
      <c r="E124" s="18">
        <f t="shared" si="0"/>
        <v>0</v>
      </c>
      <c r="F124" s="49">
        <f>F125+F127</f>
        <v>0</v>
      </c>
      <c r="G124" s="49">
        <f>G125+G127</f>
        <v>0</v>
      </c>
      <c r="H124" s="49">
        <f>H125+H127</f>
        <v>0</v>
      </c>
      <c r="I124" s="49">
        <f>I125+I127</f>
        <v>0</v>
      </c>
      <c r="J124" s="8"/>
      <c r="K124" s="19"/>
      <c r="L124" s="1"/>
    </row>
    <row r="125" spans="1:12" x14ac:dyDescent="0.25">
      <c r="A125" s="2"/>
      <c r="B125" s="47" t="s">
        <v>269</v>
      </c>
      <c r="C125" s="42" t="s">
        <v>270</v>
      </c>
      <c r="D125" s="17" t="s">
        <v>271</v>
      </c>
      <c r="E125" s="18">
        <f t="shared" si="0"/>
        <v>0</v>
      </c>
      <c r="F125" s="48"/>
      <c r="G125" s="48"/>
      <c r="H125" s="48"/>
      <c r="I125" s="48"/>
      <c r="J125" s="8"/>
      <c r="K125" s="19"/>
      <c r="L125" s="1"/>
    </row>
    <row r="126" spans="1:12" x14ac:dyDescent="0.25">
      <c r="A126" s="2"/>
      <c r="B126" s="47" t="s">
        <v>272</v>
      </c>
      <c r="C126" s="43" t="s">
        <v>273</v>
      </c>
      <c r="D126" s="17" t="s">
        <v>274</v>
      </c>
      <c r="E126" s="18">
        <f t="shared" si="0"/>
        <v>0</v>
      </c>
      <c r="F126" s="48"/>
      <c r="G126" s="48"/>
      <c r="H126" s="48"/>
      <c r="I126" s="48"/>
      <c r="J126" s="8"/>
      <c r="K126" s="19"/>
      <c r="L126" s="1"/>
    </row>
    <row r="127" spans="1:12" x14ac:dyDescent="0.25">
      <c r="A127" s="2"/>
      <c r="B127" s="47" t="s">
        <v>275</v>
      </c>
      <c r="C127" s="42" t="s">
        <v>276</v>
      </c>
      <c r="D127" s="17" t="s">
        <v>277</v>
      </c>
      <c r="E127" s="18">
        <f t="shared" si="0"/>
        <v>0</v>
      </c>
      <c r="F127" s="48"/>
      <c r="G127" s="48"/>
      <c r="H127" s="48"/>
      <c r="I127" s="48"/>
      <c r="J127" s="8"/>
      <c r="K127" s="19"/>
      <c r="L127" s="1"/>
    </row>
    <row r="128" spans="1:12" x14ac:dyDescent="0.25">
      <c r="A128" s="2"/>
      <c r="B128" s="47" t="s">
        <v>19</v>
      </c>
      <c r="C128" s="16" t="s">
        <v>278</v>
      </c>
      <c r="D128" s="17" t="s">
        <v>279</v>
      </c>
      <c r="E128" s="18">
        <f t="shared" si="0"/>
        <v>0</v>
      </c>
      <c r="F128" s="50">
        <f>SUM( F129+F134)</f>
        <v>0</v>
      </c>
      <c r="G128" s="50">
        <f>SUM( G129+G134)</f>
        <v>0</v>
      </c>
      <c r="H128" s="50">
        <f>SUM( H129+H134)</f>
        <v>0</v>
      </c>
      <c r="I128" s="50">
        <f>SUM( I129+I134)</f>
        <v>0</v>
      </c>
      <c r="J128" s="52"/>
      <c r="K128" s="19"/>
      <c r="L128" s="1"/>
    </row>
    <row r="129" spans="1:12" x14ac:dyDescent="0.25">
      <c r="A129" s="2"/>
      <c r="B129" s="47" t="s">
        <v>280</v>
      </c>
      <c r="C129" s="20" t="s">
        <v>178</v>
      </c>
      <c r="D129" s="17" t="s">
        <v>281</v>
      </c>
      <c r="E129" s="18">
        <f t="shared" ref="E129:E142" si="1">SUM(F129:I129)</f>
        <v>0</v>
      </c>
      <c r="F129" s="50">
        <f>SUM( F130:F131)</f>
        <v>0</v>
      </c>
      <c r="G129" s="50">
        <f>SUM( G130:G131)</f>
        <v>0</v>
      </c>
      <c r="H129" s="50">
        <f>SUM( H130:H131)</f>
        <v>0</v>
      </c>
      <c r="I129" s="50">
        <f>SUM( I130:I131)</f>
        <v>0</v>
      </c>
      <c r="J129" s="52"/>
      <c r="K129" s="19"/>
      <c r="L129" s="1"/>
    </row>
    <row r="130" spans="1:12" x14ac:dyDescent="0.25">
      <c r="A130" s="2"/>
      <c r="B130" s="47" t="s">
        <v>282</v>
      </c>
      <c r="C130" s="42" t="s">
        <v>199</v>
      </c>
      <c r="D130" s="17" t="s">
        <v>283</v>
      </c>
      <c r="E130" s="18">
        <f t="shared" si="1"/>
        <v>0</v>
      </c>
      <c r="F130" s="53"/>
      <c r="G130" s="53"/>
      <c r="H130" s="53"/>
      <c r="I130" s="53"/>
      <c r="J130" s="52"/>
      <c r="K130" s="19"/>
      <c r="L130" s="1"/>
    </row>
    <row r="131" spans="1:12" x14ac:dyDescent="0.25">
      <c r="A131" s="2"/>
      <c r="B131" s="47" t="s">
        <v>284</v>
      </c>
      <c r="C131" s="42" t="s">
        <v>202</v>
      </c>
      <c r="D131" s="17" t="s">
        <v>285</v>
      </c>
      <c r="E131" s="18">
        <f t="shared" si="1"/>
        <v>0</v>
      </c>
      <c r="F131" s="50">
        <f>F132+F133</f>
        <v>0</v>
      </c>
      <c r="G131" s="50">
        <f>G132+G133</f>
        <v>0</v>
      </c>
      <c r="H131" s="50">
        <f>H132+H133</f>
        <v>0</v>
      </c>
      <c r="I131" s="50">
        <f>I132+I133</f>
        <v>0</v>
      </c>
      <c r="J131" s="52"/>
      <c r="K131" s="19"/>
      <c r="L131" s="1"/>
    </row>
    <row r="132" spans="1:12" x14ac:dyDescent="0.25">
      <c r="A132" s="2"/>
      <c r="B132" s="47" t="s">
        <v>286</v>
      </c>
      <c r="C132" s="43" t="s">
        <v>208</v>
      </c>
      <c r="D132" s="17" t="s">
        <v>287</v>
      </c>
      <c r="E132" s="18">
        <f t="shared" si="1"/>
        <v>0</v>
      </c>
      <c r="F132" s="53"/>
      <c r="G132" s="53"/>
      <c r="H132" s="53"/>
      <c r="I132" s="53"/>
      <c r="J132" s="52"/>
      <c r="K132" s="19"/>
      <c r="L132" s="1"/>
    </row>
    <row r="133" spans="1:12" x14ac:dyDescent="0.25">
      <c r="A133" s="2"/>
      <c r="B133" s="47" t="s">
        <v>288</v>
      </c>
      <c r="C133" s="43" t="s">
        <v>289</v>
      </c>
      <c r="D133" s="17" t="s">
        <v>290</v>
      </c>
      <c r="E133" s="18">
        <f t="shared" si="1"/>
        <v>0</v>
      </c>
      <c r="F133" s="53"/>
      <c r="G133" s="53"/>
      <c r="H133" s="53"/>
      <c r="I133" s="53"/>
      <c r="J133" s="52"/>
      <c r="K133" s="19"/>
      <c r="L133" s="1"/>
    </row>
    <row r="134" spans="1:12" x14ac:dyDescent="0.25">
      <c r="A134" s="2"/>
      <c r="B134" s="47" t="s">
        <v>291</v>
      </c>
      <c r="C134" s="20" t="s">
        <v>240</v>
      </c>
      <c r="D134" s="17" t="s">
        <v>292</v>
      </c>
      <c r="E134" s="18">
        <f t="shared" si="1"/>
        <v>0</v>
      </c>
      <c r="F134" s="50">
        <f>F135+F137</f>
        <v>0</v>
      </c>
      <c r="G134" s="50">
        <f>G135+G137</f>
        <v>0</v>
      </c>
      <c r="H134" s="50">
        <f>H135+H137</f>
        <v>0</v>
      </c>
      <c r="I134" s="50">
        <f>I135+I137</f>
        <v>0</v>
      </c>
      <c r="J134" s="52"/>
      <c r="K134" s="19"/>
      <c r="L134" s="1"/>
    </row>
    <row r="135" spans="1:12" x14ac:dyDescent="0.25">
      <c r="A135" s="2"/>
      <c r="B135" s="47" t="s">
        <v>293</v>
      </c>
      <c r="C135" s="42" t="s">
        <v>270</v>
      </c>
      <c r="D135" s="17" t="s">
        <v>294</v>
      </c>
      <c r="E135" s="18">
        <f t="shared" si="1"/>
        <v>0</v>
      </c>
      <c r="F135" s="48"/>
      <c r="G135" s="48"/>
      <c r="H135" s="48"/>
      <c r="I135" s="48"/>
      <c r="J135" s="52"/>
      <c r="K135" s="19"/>
      <c r="L135" s="1"/>
    </row>
    <row r="136" spans="1:12" x14ac:dyDescent="0.25">
      <c r="A136" s="2"/>
      <c r="B136" s="47" t="s">
        <v>295</v>
      </c>
      <c r="C136" s="43" t="s">
        <v>273</v>
      </c>
      <c r="D136" s="17" t="s">
        <v>296</v>
      </c>
      <c r="E136" s="18">
        <f t="shared" si="1"/>
        <v>0</v>
      </c>
      <c r="F136" s="48"/>
      <c r="G136" s="48"/>
      <c r="H136" s="48"/>
      <c r="I136" s="48"/>
      <c r="J136" s="52"/>
      <c r="K136" s="19"/>
      <c r="L136" s="1"/>
    </row>
    <row r="137" spans="1:12" x14ac:dyDescent="0.25">
      <c r="A137" s="2"/>
      <c r="B137" s="47" t="s">
        <v>297</v>
      </c>
      <c r="C137" s="42" t="s">
        <v>276</v>
      </c>
      <c r="D137" s="17" t="s">
        <v>298</v>
      </c>
      <c r="E137" s="18">
        <f t="shared" si="1"/>
        <v>0</v>
      </c>
      <c r="F137" s="54"/>
      <c r="G137" s="54"/>
      <c r="H137" s="54"/>
      <c r="I137" s="54"/>
      <c r="J137" s="52"/>
      <c r="K137" s="19"/>
      <c r="L137" s="1"/>
    </row>
    <row r="138" spans="1:12" ht="22.5" x14ac:dyDescent="0.25">
      <c r="A138" s="2"/>
      <c r="B138" s="47" t="s">
        <v>299</v>
      </c>
      <c r="C138" s="16" t="s">
        <v>300</v>
      </c>
      <c r="D138" s="17" t="s">
        <v>301</v>
      </c>
      <c r="E138" s="18">
        <f t="shared" si="1"/>
        <v>3661.1195369760003</v>
      </c>
      <c r="F138" s="55">
        <f>SUM( F139:F140)</f>
        <v>5.5985664000000004E-2</v>
      </c>
      <c r="G138" s="55">
        <f>SUM( G139:G140)</f>
        <v>3476.513338752</v>
      </c>
      <c r="H138" s="55">
        <f>SUM( H139:H140)</f>
        <v>115.4122914</v>
      </c>
      <c r="I138" s="55">
        <f>SUM( I139:I140)</f>
        <v>69.137921160000005</v>
      </c>
      <c r="J138" s="52"/>
      <c r="K138" s="19"/>
      <c r="L138" s="1"/>
    </row>
    <row r="139" spans="1:12" x14ac:dyDescent="0.25">
      <c r="A139" s="2"/>
      <c r="B139" s="47" t="s">
        <v>302</v>
      </c>
      <c r="C139" s="20" t="s">
        <v>178</v>
      </c>
      <c r="D139" s="17" t="s">
        <v>303</v>
      </c>
      <c r="E139" s="18">
        <f t="shared" si="1"/>
        <v>0</v>
      </c>
      <c r="F139" s="54"/>
      <c r="G139" s="54"/>
      <c r="H139" s="54"/>
      <c r="I139" s="54"/>
      <c r="J139" s="52"/>
      <c r="K139" s="19"/>
      <c r="L139" s="1"/>
    </row>
    <row r="140" spans="1:12" x14ac:dyDescent="0.25">
      <c r="A140" s="2"/>
      <c r="B140" s="47" t="s">
        <v>304</v>
      </c>
      <c r="C140" s="20" t="s">
        <v>181</v>
      </c>
      <c r="D140" s="17" t="s">
        <v>305</v>
      </c>
      <c r="E140" s="18">
        <f t="shared" si="1"/>
        <v>3661.1195369760003</v>
      </c>
      <c r="F140" s="55">
        <f>F141+F142</f>
        <v>5.5985664000000004E-2</v>
      </c>
      <c r="G140" s="55">
        <f>G141+G142</f>
        <v>3476.513338752</v>
      </c>
      <c r="H140" s="55">
        <f>H141+H142</f>
        <v>115.4122914</v>
      </c>
      <c r="I140" s="55">
        <f>I141+I142</f>
        <v>69.137921160000005</v>
      </c>
      <c r="J140" s="52"/>
      <c r="K140" s="19"/>
      <c r="L140" s="1"/>
    </row>
    <row r="141" spans="1:12" x14ac:dyDescent="0.25">
      <c r="A141" s="2"/>
      <c r="B141" s="47" t="s">
        <v>306</v>
      </c>
      <c r="C141" s="42" t="s">
        <v>307</v>
      </c>
      <c r="D141" s="17" t="s">
        <v>308</v>
      </c>
      <c r="E141" s="18">
        <f t="shared" si="1"/>
        <v>2990.7339039119997</v>
      </c>
      <c r="F141" s="54"/>
      <c r="G141" s="54">
        <f>G119*99667.21/1000*1.2</f>
        <v>2990.7339039119997</v>
      </c>
      <c r="H141" s="54"/>
      <c r="I141" s="54"/>
      <c r="J141" s="52"/>
      <c r="K141" s="19"/>
      <c r="L141" s="1"/>
    </row>
    <row r="142" spans="1:12" x14ac:dyDescent="0.25">
      <c r="A142" s="2"/>
      <c r="B142" s="47" t="s">
        <v>309</v>
      </c>
      <c r="C142" s="42" t="s">
        <v>276</v>
      </c>
      <c r="D142" s="17" t="s">
        <v>310</v>
      </c>
      <c r="E142" s="18">
        <f t="shared" si="1"/>
        <v>670.38563306399999</v>
      </c>
      <c r="F142" s="54">
        <f>F120*88.9/1000*1.2</f>
        <v>5.5985664000000004E-2</v>
      </c>
      <c r="G142" s="54">
        <f>G120*88.9/1000*1.2</f>
        <v>485.77943484000002</v>
      </c>
      <c r="H142" s="54">
        <f>H120*88.9/1000*1.2</f>
        <v>115.4122914</v>
      </c>
      <c r="I142" s="54">
        <f>I120*88.9/1000*1.2</f>
        <v>69.137921160000005</v>
      </c>
      <c r="J142" s="52"/>
      <c r="K142" s="19"/>
      <c r="L142" s="1"/>
    </row>
    <row r="143" spans="1:12" x14ac:dyDescent="0.25">
      <c r="A143" s="1"/>
      <c r="B143" s="6"/>
      <c r="C143" s="56"/>
      <c r="D143" s="56"/>
      <c r="E143" s="56"/>
      <c r="F143" s="56"/>
      <c r="G143" s="56"/>
      <c r="H143" s="56"/>
      <c r="I143" s="57"/>
      <c r="J143" s="57"/>
      <c r="K143" s="57"/>
      <c r="L143" s="57"/>
    </row>
    <row r="144" spans="1:12" x14ac:dyDescent="0.25">
      <c r="A144" s="1"/>
      <c r="B144" s="1"/>
      <c r="C144" s="19" t="s">
        <v>311</v>
      </c>
      <c r="D144" s="103" t="s">
        <v>322</v>
      </c>
      <c r="E144" s="103"/>
      <c r="F144" s="58"/>
      <c r="G144" s="103" t="s">
        <v>323</v>
      </c>
      <c r="H144" s="103"/>
      <c r="I144" s="103"/>
      <c r="J144" s="58"/>
      <c r="K144" s="59"/>
      <c r="L144" s="59"/>
    </row>
    <row r="145" spans="1:12" x14ac:dyDescent="0.25">
      <c r="A145" s="1"/>
      <c r="B145" s="1"/>
      <c r="C145" s="60" t="s">
        <v>312</v>
      </c>
      <c r="D145" s="102" t="s">
        <v>313</v>
      </c>
      <c r="E145" s="102"/>
      <c r="F145" s="61"/>
      <c r="G145" s="102" t="s">
        <v>314</v>
      </c>
      <c r="H145" s="102"/>
      <c r="I145" s="102"/>
      <c r="J145" s="61"/>
      <c r="K145" s="102" t="s">
        <v>315</v>
      </c>
      <c r="L145" s="102"/>
    </row>
    <row r="146" spans="1:12" x14ac:dyDescent="0.25">
      <c r="A146" s="1"/>
      <c r="B146" s="1"/>
      <c r="C146" s="60" t="s">
        <v>316</v>
      </c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1:12" x14ac:dyDescent="0.25">
      <c r="A147" s="1"/>
      <c r="B147" s="1"/>
      <c r="C147" s="60" t="s">
        <v>317</v>
      </c>
      <c r="D147" s="103" t="s">
        <v>324</v>
      </c>
      <c r="E147" s="103"/>
      <c r="F147" s="103"/>
      <c r="G147" s="19"/>
      <c r="H147" s="60" t="s">
        <v>318</v>
      </c>
      <c r="I147" s="62"/>
      <c r="J147" s="19"/>
      <c r="K147" s="19"/>
      <c r="L147" s="19"/>
    </row>
    <row r="148" spans="1:12" x14ac:dyDescent="0.25">
      <c r="A148" s="1"/>
      <c r="B148" s="1"/>
      <c r="C148" s="19" t="s">
        <v>319</v>
      </c>
      <c r="D148" s="104" t="s">
        <v>320</v>
      </c>
      <c r="E148" s="104"/>
      <c r="F148" s="104"/>
      <c r="G148" s="19"/>
      <c r="H148" s="63" t="s">
        <v>321</v>
      </c>
      <c r="I148" s="63"/>
      <c r="J148" s="19"/>
      <c r="K148" s="19"/>
      <c r="L148" s="19"/>
    </row>
    <row r="149" spans="1:12" x14ac:dyDescent="0.25">
      <c r="A149" s="1"/>
      <c r="B149" s="1"/>
      <c r="C149" s="57"/>
      <c r="D149" s="57"/>
      <c r="E149" s="57"/>
      <c r="F149" s="57"/>
      <c r="G149" s="57"/>
      <c r="H149" s="57"/>
      <c r="I149" s="57"/>
      <c r="J149" s="57"/>
      <c r="K149" s="57"/>
      <c r="L149" s="57"/>
    </row>
    <row r="150" spans="1:12" x14ac:dyDescent="0.25">
      <c r="A150" s="1"/>
      <c r="B150" s="1"/>
      <c r="C150" s="57"/>
      <c r="D150" s="57"/>
      <c r="E150" s="57"/>
      <c r="F150" s="57"/>
      <c r="G150" s="57"/>
      <c r="H150" s="57"/>
      <c r="I150" s="57"/>
      <c r="J150" s="57"/>
      <c r="K150" s="57"/>
      <c r="L150" s="57"/>
    </row>
  </sheetData>
  <mergeCells count="18">
    <mergeCell ref="D144:E144"/>
    <mergeCell ref="G144:I144"/>
    <mergeCell ref="B2:C2"/>
    <mergeCell ref="B5:B6"/>
    <mergeCell ref="C5:C6"/>
    <mergeCell ref="D5:D6"/>
    <mergeCell ref="E5:E6"/>
    <mergeCell ref="F5:I5"/>
    <mergeCell ref="B8:I8"/>
    <mergeCell ref="B46:I46"/>
    <mergeCell ref="B84:I84"/>
    <mergeCell ref="B88:I88"/>
    <mergeCell ref="B121:I121"/>
    <mergeCell ref="D145:E145"/>
    <mergeCell ref="G145:I145"/>
    <mergeCell ref="D147:F147"/>
    <mergeCell ref="D148:F148"/>
    <mergeCell ref="K145:L145"/>
  </mergeCells>
  <dataValidations count="2">
    <dataValidation allowBlank="1" showInputMessage="1" promptTitle="Ввод" prompt="Для выбора организации необходимо два раза нажать левую клавишу мыши!" sqref="C19 C35 C57 C73"/>
    <dataValidation type="decimal" allowBlank="1" showErrorMessage="1" errorTitle="Ошибка" error="Допускается ввод только действительных чисел!" sqref="E17:I19 E85:I87 E9:I12 E47:I50 E75:I83 E89:I120 E55:I57 E37:I45 E21:I35 E122:I142 E52:I53 E14:I15 E59:I73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opLeftCell="A121" workbookViewId="0">
      <selection activeCell="I143" sqref="I143"/>
    </sheetView>
  </sheetViews>
  <sheetFormatPr defaultRowHeight="15" x14ac:dyDescent="0.25"/>
  <cols>
    <col min="3" max="3" width="61" customWidth="1"/>
    <col min="5" max="9" width="16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3"/>
      <c r="J1" s="1"/>
      <c r="K1" s="1"/>
      <c r="L1" s="1"/>
    </row>
    <row r="2" spans="1:12" ht="27.75" customHeight="1" x14ac:dyDescent="0.25">
      <c r="A2" s="1"/>
      <c r="B2" s="105" t="s">
        <v>0</v>
      </c>
      <c r="C2" s="105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1"/>
      <c r="B3" s="5" t="str">
        <f>IF(org="","Не определено",org)</f>
        <v>ООО "КВЭП"</v>
      </c>
      <c r="C3" s="5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/>
      <c r="B4" s="6"/>
      <c r="C4" s="6"/>
      <c r="D4" s="2"/>
      <c r="E4" s="2"/>
      <c r="F4" s="2"/>
      <c r="G4" s="2"/>
      <c r="H4" s="1"/>
      <c r="I4" s="7" t="s">
        <v>1</v>
      </c>
      <c r="J4" s="1"/>
      <c r="K4" s="1"/>
      <c r="L4" s="1"/>
    </row>
    <row r="5" spans="1:12" ht="15" customHeight="1" x14ac:dyDescent="0.25">
      <c r="A5" s="2"/>
      <c r="B5" s="114" t="s">
        <v>2</v>
      </c>
      <c r="C5" s="116" t="s">
        <v>3</v>
      </c>
      <c r="D5" s="116" t="s">
        <v>4</v>
      </c>
      <c r="E5" s="116" t="s">
        <v>5</v>
      </c>
      <c r="F5" s="116" t="s">
        <v>6</v>
      </c>
      <c r="G5" s="116"/>
      <c r="H5" s="116"/>
      <c r="I5" s="118"/>
      <c r="J5" s="8"/>
      <c r="K5" s="1"/>
      <c r="L5" s="1"/>
    </row>
    <row r="6" spans="1:12" x14ac:dyDescent="0.25">
      <c r="A6" s="2"/>
      <c r="B6" s="115"/>
      <c r="C6" s="117"/>
      <c r="D6" s="117"/>
      <c r="E6" s="117"/>
      <c r="F6" s="9" t="s">
        <v>7</v>
      </c>
      <c r="G6" s="9" t="s">
        <v>8</v>
      </c>
      <c r="H6" s="9" t="s">
        <v>9</v>
      </c>
      <c r="I6" s="10" t="s">
        <v>10</v>
      </c>
      <c r="J6" s="8"/>
      <c r="K6" s="1"/>
      <c r="L6" s="1"/>
    </row>
    <row r="7" spans="1:12" x14ac:dyDescent="0.25">
      <c r="A7" s="1"/>
      <c r="B7" s="11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"/>
      <c r="K7" s="1"/>
      <c r="L7" s="1"/>
    </row>
    <row r="8" spans="1:12" x14ac:dyDescent="0.25">
      <c r="A8" s="12"/>
      <c r="B8" s="111" t="s">
        <v>11</v>
      </c>
      <c r="C8" s="112"/>
      <c r="D8" s="112"/>
      <c r="E8" s="112"/>
      <c r="F8" s="112"/>
      <c r="G8" s="112"/>
      <c r="H8" s="112"/>
      <c r="I8" s="113"/>
      <c r="J8" s="13"/>
      <c r="K8" s="14"/>
      <c r="L8" s="14"/>
    </row>
    <row r="9" spans="1:12" x14ac:dyDescent="0.25">
      <c r="A9" s="12"/>
      <c r="B9" s="15" t="s">
        <v>12</v>
      </c>
      <c r="C9" s="16" t="s">
        <v>13</v>
      </c>
      <c r="D9" s="17">
        <v>10</v>
      </c>
      <c r="E9" s="18">
        <f>SUM(F9:I9)</f>
        <v>5996.1419999999998</v>
      </c>
      <c r="F9" s="18">
        <f>F10+F11+F14+F17</f>
        <v>703.68799999999999</v>
      </c>
      <c r="G9" s="18">
        <f>G10+G11+G14+G17</f>
        <v>5108.0320000000002</v>
      </c>
      <c r="H9" s="18">
        <f>H10+H11+H14+H17</f>
        <v>184.422</v>
      </c>
      <c r="I9" s="18">
        <f>I10+I11+I14+I17</f>
        <v>0</v>
      </c>
      <c r="J9" s="13"/>
      <c r="K9" s="19"/>
      <c r="L9" s="14"/>
    </row>
    <row r="10" spans="1:12" x14ac:dyDescent="0.25">
      <c r="A10" s="12"/>
      <c r="B10" s="15" t="s">
        <v>14</v>
      </c>
      <c r="C10" s="20" t="s">
        <v>15</v>
      </c>
      <c r="D10" s="17">
        <v>20</v>
      </c>
      <c r="E10" s="18">
        <f t="shared" ref="E10:E128" si="0">SUM(F10:I10)</f>
        <v>0</v>
      </c>
      <c r="F10" s="21"/>
      <c r="G10" s="21"/>
      <c r="H10" s="21"/>
      <c r="I10" s="21"/>
      <c r="J10" s="13"/>
      <c r="K10" s="19"/>
      <c r="L10" s="14"/>
    </row>
    <row r="11" spans="1:12" x14ac:dyDescent="0.25">
      <c r="A11" s="12"/>
      <c r="B11" s="15" t="s">
        <v>16</v>
      </c>
      <c r="C11" s="20" t="s">
        <v>17</v>
      </c>
      <c r="D11" s="17">
        <v>30</v>
      </c>
      <c r="E11" s="18">
        <f t="shared" si="0"/>
        <v>0</v>
      </c>
      <c r="F11" s="18">
        <f>SUM(F12:F13)</f>
        <v>0</v>
      </c>
      <c r="G11" s="18">
        <f>SUM(G12:G13)</f>
        <v>0</v>
      </c>
      <c r="H11" s="18">
        <f>SUM(H12:H13)</f>
        <v>0</v>
      </c>
      <c r="I11" s="18">
        <f>SUM(I12:I13)</f>
        <v>0</v>
      </c>
      <c r="J11" s="13"/>
      <c r="K11" s="19"/>
      <c r="L11" s="14"/>
    </row>
    <row r="12" spans="1:12" x14ac:dyDescent="0.25">
      <c r="A12" s="12"/>
      <c r="B12" s="22" t="s">
        <v>18</v>
      </c>
      <c r="C12" s="23"/>
      <c r="D12" s="24" t="s">
        <v>19</v>
      </c>
      <c r="E12" s="25"/>
      <c r="F12" s="25"/>
      <c r="G12" s="25"/>
      <c r="H12" s="25"/>
      <c r="I12" s="25"/>
      <c r="J12" s="13"/>
      <c r="K12" s="19"/>
      <c r="L12" s="14"/>
    </row>
    <row r="13" spans="1:12" x14ac:dyDescent="0.25">
      <c r="A13" s="12"/>
      <c r="B13" s="26"/>
      <c r="C13" s="27" t="s">
        <v>20</v>
      </c>
      <c r="D13" s="28"/>
      <c r="E13" s="28"/>
      <c r="F13" s="28"/>
      <c r="G13" s="28"/>
      <c r="H13" s="28"/>
      <c r="I13" s="29"/>
      <c r="J13" s="13"/>
      <c r="K13" s="19"/>
      <c r="L13" s="14"/>
    </row>
    <row r="14" spans="1:12" x14ac:dyDescent="0.25">
      <c r="A14" s="12"/>
      <c r="B14" s="15" t="s">
        <v>21</v>
      </c>
      <c r="C14" s="20" t="s">
        <v>22</v>
      </c>
      <c r="D14" s="17" t="s">
        <v>23</v>
      </c>
      <c r="E14" s="18">
        <f t="shared" si="0"/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>SUM(I15:I16)</f>
        <v>0</v>
      </c>
      <c r="J14" s="13"/>
      <c r="K14" s="19"/>
      <c r="L14" s="14"/>
    </row>
    <row r="15" spans="1:12" x14ac:dyDescent="0.25">
      <c r="A15" s="12"/>
      <c r="B15" s="22" t="s">
        <v>24</v>
      </c>
      <c r="C15" s="23"/>
      <c r="D15" s="24" t="s">
        <v>23</v>
      </c>
      <c r="E15" s="25"/>
      <c r="F15" s="25"/>
      <c r="G15" s="25"/>
      <c r="H15" s="25"/>
      <c r="I15" s="25"/>
      <c r="J15" s="13"/>
      <c r="K15" s="19"/>
      <c r="L15" s="14"/>
    </row>
    <row r="16" spans="1:12" x14ac:dyDescent="0.25">
      <c r="A16" s="12"/>
      <c r="B16" s="26"/>
      <c r="C16" s="27" t="s">
        <v>20</v>
      </c>
      <c r="D16" s="28"/>
      <c r="E16" s="28"/>
      <c r="F16" s="28"/>
      <c r="G16" s="28"/>
      <c r="H16" s="28"/>
      <c r="I16" s="29"/>
      <c r="J16" s="13"/>
      <c r="K16" s="19"/>
      <c r="L16" s="14"/>
    </row>
    <row r="17" spans="1:12" x14ac:dyDescent="0.25">
      <c r="A17" s="12"/>
      <c r="B17" s="15" t="s">
        <v>25</v>
      </c>
      <c r="C17" s="20" t="s">
        <v>26</v>
      </c>
      <c r="D17" s="17" t="s">
        <v>27</v>
      </c>
      <c r="E17" s="18">
        <f t="shared" si="0"/>
        <v>5996.1419999999998</v>
      </c>
      <c r="F17" s="18">
        <f>SUM(F18:F20)</f>
        <v>703.68799999999999</v>
      </c>
      <c r="G17" s="18">
        <f>SUM(G18:G20)</f>
        <v>5108.0320000000002</v>
      </c>
      <c r="H17" s="18">
        <f>SUM(H18:H20)</f>
        <v>184.422</v>
      </c>
      <c r="I17" s="18">
        <f>SUM(I18:I20)</f>
        <v>0</v>
      </c>
      <c r="J17" s="13"/>
      <c r="K17" s="19"/>
      <c r="L17" s="14"/>
    </row>
    <row r="18" spans="1:12" x14ac:dyDescent="0.25">
      <c r="A18" s="12"/>
      <c r="B18" s="22" t="s">
        <v>28</v>
      </c>
      <c r="C18" s="23"/>
      <c r="D18" s="24" t="s">
        <v>27</v>
      </c>
      <c r="E18" s="25"/>
      <c r="F18" s="25"/>
      <c r="G18" s="25"/>
      <c r="H18" s="25"/>
      <c r="I18" s="25"/>
      <c r="J18" s="13"/>
      <c r="K18" s="19"/>
      <c r="L18" s="14"/>
    </row>
    <row r="19" spans="1:12" x14ac:dyDescent="0.25">
      <c r="A19" s="30" t="s">
        <v>29</v>
      </c>
      <c r="B19" s="31" t="s">
        <v>30</v>
      </c>
      <c r="C19" s="32" t="s">
        <v>31</v>
      </c>
      <c r="D19" s="33">
        <v>431</v>
      </c>
      <c r="E19" s="34">
        <f>SUM(F19:I19)</f>
        <v>5996.1419999999998</v>
      </c>
      <c r="F19" s="35">
        <v>703.68799999999999</v>
      </c>
      <c r="G19" s="35">
        <v>5108.0320000000002</v>
      </c>
      <c r="H19" s="35">
        <v>184.422</v>
      </c>
      <c r="I19" s="36"/>
      <c r="J19" s="13"/>
      <c r="K19" s="37" t="s">
        <v>32</v>
      </c>
      <c r="L19" s="38" t="s">
        <v>33</v>
      </c>
    </row>
    <row r="20" spans="1:12" x14ac:dyDescent="0.25">
      <c r="A20" s="12"/>
      <c r="B20" s="26"/>
      <c r="C20" s="27" t="s">
        <v>20</v>
      </c>
      <c r="D20" s="28"/>
      <c r="E20" s="28"/>
      <c r="F20" s="28"/>
      <c r="G20" s="28"/>
      <c r="H20" s="28"/>
      <c r="I20" s="29"/>
      <c r="J20" s="13"/>
      <c r="K20" s="19"/>
      <c r="L20" s="14"/>
    </row>
    <row r="21" spans="1:12" x14ac:dyDescent="0.25">
      <c r="A21" s="12"/>
      <c r="B21" s="15" t="s">
        <v>34</v>
      </c>
      <c r="C21" s="16" t="s">
        <v>35</v>
      </c>
      <c r="D21" s="17" t="s">
        <v>36</v>
      </c>
      <c r="E21" s="18">
        <f t="shared" si="0"/>
        <v>2189.5040000000013</v>
      </c>
      <c r="F21" s="18">
        <f>F23+F24+F25</f>
        <v>0</v>
      </c>
      <c r="G21" s="18">
        <f>G22+G24+G25</f>
        <v>0</v>
      </c>
      <c r="H21" s="18">
        <f>H22+H23+H25</f>
        <v>1535.1860000000006</v>
      </c>
      <c r="I21" s="18">
        <f>I22+I23+I24</f>
        <v>654.31800000000067</v>
      </c>
      <c r="J21" s="13"/>
      <c r="K21" s="19"/>
      <c r="L21" s="14"/>
    </row>
    <row r="22" spans="1:12" x14ac:dyDescent="0.25">
      <c r="A22" s="12"/>
      <c r="B22" s="15" t="s">
        <v>37</v>
      </c>
      <c r="C22" s="20" t="s">
        <v>7</v>
      </c>
      <c r="D22" s="17" t="s">
        <v>38</v>
      </c>
      <c r="E22" s="18">
        <f t="shared" si="0"/>
        <v>689.94299999999998</v>
      </c>
      <c r="F22" s="39"/>
      <c r="G22" s="21"/>
      <c r="H22" s="21">
        <f>F38</f>
        <v>689.94299999999998</v>
      </c>
      <c r="I22" s="21"/>
      <c r="J22" s="13"/>
      <c r="K22" s="19"/>
      <c r="L22" s="14"/>
    </row>
    <row r="23" spans="1:12" x14ac:dyDescent="0.25">
      <c r="A23" s="12"/>
      <c r="B23" s="15" t="s">
        <v>39</v>
      </c>
      <c r="C23" s="20" t="s">
        <v>8</v>
      </c>
      <c r="D23" s="17" t="s">
        <v>40</v>
      </c>
      <c r="E23" s="18">
        <f t="shared" si="0"/>
        <v>845.24300000000051</v>
      </c>
      <c r="F23" s="21"/>
      <c r="G23" s="39"/>
      <c r="H23" s="21">
        <f>G19-G27-G41</f>
        <v>845.24300000000051</v>
      </c>
      <c r="I23" s="21"/>
      <c r="J23" s="13"/>
      <c r="K23" s="19"/>
      <c r="L23" s="14"/>
    </row>
    <row r="24" spans="1:12" x14ac:dyDescent="0.25">
      <c r="A24" s="12"/>
      <c r="B24" s="15" t="s">
        <v>41</v>
      </c>
      <c r="C24" s="20" t="s">
        <v>9</v>
      </c>
      <c r="D24" s="17" t="s">
        <v>42</v>
      </c>
      <c r="E24" s="18">
        <f t="shared" si="0"/>
        <v>654.31800000000067</v>
      </c>
      <c r="F24" s="21"/>
      <c r="G24" s="21"/>
      <c r="H24" s="39"/>
      <c r="I24" s="21">
        <f>H17+H21-H41-H27</f>
        <v>654.31800000000067</v>
      </c>
      <c r="J24" s="13"/>
      <c r="K24" s="19"/>
      <c r="L24" s="14"/>
    </row>
    <row r="25" spans="1:12" x14ac:dyDescent="0.25">
      <c r="A25" s="12"/>
      <c r="B25" s="15" t="s">
        <v>43</v>
      </c>
      <c r="C25" s="20" t="s">
        <v>44</v>
      </c>
      <c r="D25" s="17" t="s">
        <v>45</v>
      </c>
      <c r="E25" s="18">
        <f t="shared" si="0"/>
        <v>0</v>
      </c>
      <c r="F25" s="21"/>
      <c r="G25" s="21"/>
      <c r="H25" s="21"/>
      <c r="I25" s="39"/>
      <c r="J25" s="13"/>
      <c r="K25" s="19"/>
      <c r="L25" s="14"/>
    </row>
    <row r="26" spans="1:12" x14ac:dyDescent="0.25">
      <c r="A26" s="12"/>
      <c r="B26" s="15" t="s">
        <v>46</v>
      </c>
      <c r="C26" s="40" t="s">
        <v>47</v>
      </c>
      <c r="D26" s="17" t="s">
        <v>48</v>
      </c>
      <c r="E26" s="18">
        <f t="shared" si="0"/>
        <v>0</v>
      </c>
      <c r="F26" s="21"/>
      <c r="G26" s="21"/>
      <c r="H26" s="21"/>
      <c r="I26" s="21"/>
      <c r="J26" s="13"/>
      <c r="K26" s="19"/>
      <c r="L26" s="14"/>
    </row>
    <row r="27" spans="1:12" x14ac:dyDescent="0.25">
      <c r="A27" s="12"/>
      <c r="B27" s="15" t="s">
        <v>49</v>
      </c>
      <c r="C27" s="16" t="s">
        <v>50</v>
      </c>
      <c r="D27" s="41" t="s">
        <v>51</v>
      </c>
      <c r="E27" s="18">
        <f t="shared" si="0"/>
        <v>5841.3729999999996</v>
      </c>
      <c r="F27" s="18">
        <f>F28+F30+F33+F37</f>
        <v>0</v>
      </c>
      <c r="G27" s="18">
        <f>G28+G30+G33+G37</f>
        <v>4202.9269999999997</v>
      </c>
      <c r="H27" s="18">
        <f>H28+H30+H33+H37</f>
        <v>1018.066</v>
      </c>
      <c r="I27" s="18">
        <f>I28+I30+I33+I37</f>
        <v>620.38</v>
      </c>
      <c r="J27" s="13"/>
      <c r="K27" s="19"/>
      <c r="L27" s="14"/>
    </row>
    <row r="28" spans="1:12" ht="22.5" x14ac:dyDescent="0.25">
      <c r="A28" s="12"/>
      <c r="B28" s="15" t="s">
        <v>52</v>
      </c>
      <c r="C28" s="20" t="s">
        <v>53</v>
      </c>
      <c r="D28" s="17" t="s">
        <v>54</v>
      </c>
      <c r="E28" s="18">
        <f t="shared" si="0"/>
        <v>0</v>
      </c>
      <c r="F28" s="21"/>
      <c r="G28" s="21"/>
      <c r="H28" s="21"/>
      <c r="I28" s="21"/>
      <c r="J28" s="13"/>
      <c r="K28" s="19"/>
      <c r="L28" s="14"/>
    </row>
    <row r="29" spans="1:12" ht="22.5" x14ac:dyDescent="0.25">
      <c r="A29" s="12"/>
      <c r="B29" s="15" t="s">
        <v>55</v>
      </c>
      <c r="C29" s="42" t="s">
        <v>56</v>
      </c>
      <c r="D29" s="17" t="s">
        <v>57</v>
      </c>
      <c r="E29" s="18">
        <f t="shared" si="0"/>
        <v>0</v>
      </c>
      <c r="F29" s="21"/>
      <c r="G29" s="21"/>
      <c r="H29" s="21"/>
      <c r="I29" s="21"/>
      <c r="J29" s="13"/>
      <c r="K29" s="19"/>
      <c r="L29" s="14"/>
    </row>
    <row r="30" spans="1:12" x14ac:dyDescent="0.25">
      <c r="A30" s="12"/>
      <c r="B30" s="15" t="s">
        <v>58</v>
      </c>
      <c r="C30" s="20" t="s">
        <v>59</v>
      </c>
      <c r="D30" s="17" t="s">
        <v>60</v>
      </c>
      <c r="E30" s="18">
        <f t="shared" si="0"/>
        <v>2346.875</v>
      </c>
      <c r="F30" s="21">
        <v>0</v>
      </c>
      <c r="G30" s="21">
        <v>708.42899999999997</v>
      </c>
      <c r="H30" s="21">
        <v>1018.066</v>
      </c>
      <c r="I30" s="21">
        <v>620.38</v>
      </c>
      <c r="J30" s="13"/>
      <c r="K30" s="19"/>
      <c r="L30" s="14"/>
    </row>
    <row r="31" spans="1:12" x14ac:dyDescent="0.25">
      <c r="A31" s="12"/>
      <c r="B31" s="15" t="s">
        <v>61</v>
      </c>
      <c r="C31" s="42" t="s">
        <v>62</v>
      </c>
      <c r="D31" s="17" t="s">
        <v>63</v>
      </c>
      <c r="E31" s="18">
        <f t="shared" si="0"/>
        <v>0</v>
      </c>
      <c r="F31" s="21"/>
      <c r="G31" s="21"/>
      <c r="H31" s="21"/>
      <c r="I31" s="21"/>
      <c r="J31" s="13"/>
      <c r="K31" s="19"/>
      <c r="L31" s="14"/>
    </row>
    <row r="32" spans="1:12" ht="22.5" x14ac:dyDescent="0.25">
      <c r="A32" s="12"/>
      <c r="B32" s="15" t="s">
        <v>64</v>
      </c>
      <c r="C32" s="43" t="s">
        <v>56</v>
      </c>
      <c r="D32" s="17" t="s">
        <v>65</v>
      </c>
      <c r="E32" s="18">
        <f t="shared" si="0"/>
        <v>0</v>
      </c>
      <c r="F32" s="21"/>
      <c r="G32" s="21"/>
      <c r="H32" s="21"/>
      <c r="I32" s="21"/>
      <c r="J32" s="13"/>
      <c r="K32" s="19"/>
      <c r="L32" s="14"/>
    </row>
    <row r="33" spans="1:12" x14ac:dyDescent="0.25">
      <c r="A33" s="12"/>
      <c r="B33" s="15" t="s">
        <v>66</v>
      </c>
      <c r="C33" s="20" t="s">
        <v>67</v>
      </c>
      <c r="D33" s="17" t="s">
        <v>68</v>
      </c>
      <c r="E33" s="18">
        <f t="shared" si="0"/>
        <v>3494.498</v>
      </c>
      <c r="F33" s="18">
        <f>SUM(F34:F36)</f>
        <v>0</v>
      </c>
      <c r="G33" s="18">
        <f>SUM(G34:G36)</f>
        <v>3494.498</v>
      </c>
      <c r="H33" s="18">
        <f>SUM(H34:H36)</f>
        <v>0</v>
      </c>
      <c r="I33" s="18">
        <f>SUM(I34:I36)</f>
        <v>0</v>
      </c>
      <c r="J33" s="13"/>
      <c r="K33" s="19"/>
      <c r="L33" s="14"/>
    </row>
    <row r="34" spans="1:12" x14ac:dyDescent="0.25">
      <c r="A34" s="12"/>
      <c r="B34" s="22" t="s">
        <v>69</v>
      </c>
      <c r="C34" s="23"/>
      <c r="D34" s="24" t="s">
        <v>68</v>
      </c>
      <c r="E34" s="25"/>
      <c r="F34" s="25"/>
      <c r="G34" s="25"/>
      <c r="H34" s="25"/>
      <c r="I34" s="25"/>
      <c r="J34" s="13"/>
      <c r="K34" s="19"/>
      <c r="L34" s="14"/>
    </row>
    <row r="35" spans="1:12" x14ac:dyDescent="0.25">
      <c r="A35" s="30" t="s">
        <v>29</v>
      </c>
      <c r="B35" s="31" t="s">
        <v>70</v>
      </c>
      <c r="C35" s="32" t="s">
        <v>71</v>
      </c>
      <c r="D35" s="33">
        <v>751</v>
      </c>
      <c r="E35" s="34">
        <f>SUM(F35:I35)</f>
        <v>3494.498</v>
      </c>
      <c r="F35" s="35"/>
      <c r="G35" s="35">
        <v>3494.498</v>
      </c>
      <c r="H35" s="35"/>
      <c r="I35" s="36"/>
      <c r="J35" s="13"/>
      <c r="K35" s="37" t="s">
        <v>72</v>
      </c>
      <c r="L35" s="38" t="s">
        <v>73</v>
      </c>
    </row>
    <row r="36" spans="1:12" x14ac:dyDescent="0.25">
      <c r="A36" s="12"/>
      <c r="B36" s="44"/>
      <c r="C36" s="27" t="s">
        <v>20</v>
      </c>
      <c r="D36" s="28"/>
      <c r="E36" s="28"/>
      <c r="F36" s="28"/>
      <c r="G36" s="28"/>
      <c r="H36" s="28"/>
      <c r="I36" s="29"/>
      <c r="J36" s="13"/>
      <c r="K36" s="19"/>
      <c r="L36" s="14"/>
    </row>
    <row r="37" spans="1:12" x14ac:dyDescent="0.25">
      <c r="A37" s="12"/>
      <c r="B37" s="15" t="s">
        <v>74</v>
      </c>
      <c r="C37" s="45" t="s">
        <v>75</v>
      </c>
      <c r="D37" s="17" t="s">
        <v>76</v>
      </c>
      <c r="E37" s="18">
        <f t="shared" si="0"/>
        <v>0</v>
      </c>
      <c r="F37" s="21"/>
      <c r="G37" s="21"/>
      <c r="H37" s="21"/>
      <c r="I37" s="21"/>
      <c r="J37" s="13"/>
      <c r="K37" s="19"/>
      <c r="L37" s="14"/>
    </row>
    <row r="38" spans="1:12" x14ac:dyDescent="0.25">
      <c r="A38" s="12"/>
      <c r="B38" s="15" t="s">
        <v>77</v>
      </c>
      <c r="C38" s="16" t="s">
        <v>78</v>
      </c>
      <c r="D38" s="17" t="s">
        <v>79</v>
      </c>
      <c r="E38" s="18">
        <f t="shared" si="0"/>
        <v>2189.5040000000017</v>
      </c>
      <c r="F38" s="21">
        <f>F19-F41</f>
        <v>689.94299999999998</v>
      </c>
      <c r="G38" s="21">
        <f>G9-G27-G41</f>
        <v>845.24300000000051</v>
      </c>
      <c r="H38" s="21">
        <f>H17+H21-H27-H41</f>
        <v>654.31800000000055</v>
      </c>
      <c r="I38" s="21">
        <f>I24-I27-I41</f>
        <v>6.6791017161449417E-13</v>
      </c>
      <c r="J38" s="13"/>
      <c r="K38" s="19"/>
      <c r="L38" s="14"/>
    </row>
    <row r="39" spans="1:12" x14ac:dyDescent="0.25">
      <c r="A39" s="12"/>
      <c r="B39" s="15" t="s">
        <v>80</v>
      </c>
      <c r="C39" s="16" t="s">
        <v>81</v>
      </c>
      <c r="D39" s="17" t="s">
        <v>82</v>
      </c>
      <c r="E39" s="18">
        <f t="shared" si="0"/>
        <v>0</v>
      </c>
      <c r="F39" s="21"/>
      <c r="G39" s="21"/>
      <c r="H39" s="21"/>
      <c r="I39" s="21"/>
      <c r="J39" s="13"/>
      <c r="K39" s="19"/>
      <c r="L39" s="14"/>
    </row>
    <row r="40" spans="1:12" x14ac:dyDescent="0.25">
      <c r="A40" s="12"/>
      <c r="B40" s="15" t="s">
        <v>83</v>
      </c>
      <c r="C40" s="16" t="s">
        <v>84</v>
      </c>
      <c r="D40" s="17" t="s">
        <v>85</v>
      </c>
      <c r="E40" s="18">
        <f t="shared" si="0"/>
        <v>0</v>
      </c>
      <c r="F40" s="21"/>
      <c r="G40" s="21"/>
      <c r="H40" s="21"/>
      <c r="I40" s="21"/>
      <c r="J40" s="13"/>
      <c r="K40" s="19"/>
      <c r="L40" s="14"/>
    </row>
    <row r="41" spans="1:12" x14ac:dyDescent="0.25">
      <c r="A41" s="12"/>
      <c r="B41" s="15" t="s">
        <v>86</v>
      </c>
      <c r="C41" s="16" t="s">
        <v>87</v>
      </c>
      <c r="D41" s="17" t="s">
        <v>88</v>
      </c>
      <c r="E41" s="18">
        <f t="shared" si="0"/>
        <v>154.76900000000001</v>
      </c>
      <c r="F41" s="21">
        <v>13.744999999999999</v>
      </c>
      <c r="G41" s="21">
        <v>59.862000000000002</v>
      </c>
      <c r="H41" s="21">
        <v>47.223999999999997</v>
      </c>
      <c r="I41" s="21">
        <v>33.938000000000002</v>
      </c>
      <c r="J41" s="13"/>
      <c r="K41" s="19"/>
      <c r="L41" s="14"/>
    </row>
    <row r="42" spans="1:12" x14ac:dyDescent="0.25">
      <c r="A42" s="12"/>
      <c r="B42" s="15" t="s">
        <v>89</v>
      </c>
      <c r="C42" s="20" t="s">
        <v>90</v>
      </c>
      <c r="D42" s="17" t="s">
        <v>91</v>
      </c>
      <c r="E42" s="18">
        <f t="shared" si="0"/>
        <v>0</v>
      </c>
      <c r="F42" s="21"/>
      <c r="G42" s="21"/>
      <c r="H42" s="21"/>
      <c r="I42" s="21"/>
      <c r="J42" s="13"/>
      <c r="K42" s="19"/>
      <c r="L42" s="14"/>
    </row>
    <row r="43" spans="1:12" ht="22.5" x14ac:dyDescent="0.25">
      <c r="A43" s="12"/>
      <c r="B43" s="15" t="s">
        <v>92</v>
      </c>
      <c r="C43" s="16" t="s">
        <v>93</v>
      </c>
      <c r="D43" s="17" t="s">
        <v>94</v>
      </c>
      <c r="E43" s="18">
        <f t="shared" si="0"/>
        <v>156</v>
      </c>
      <c r="F43" s="21"/>
      <c r="G43" s="21">
        <v>38.50138966092274</v>
      </c>
      <c r="H43" s="21">
        <v>51.335186214563649</v>
      </c>
      <c r="I43" s="21">
        <v>66.163424124513625</v>
      </c>
      <c r="J43" s="13"/>
      <c r="K43" s="19"/>
      <c r="L43" s="14"/>
    </row>
    <row r="44" spans="1:12" ht="33.75" x14ac:dyDescent="0.25">
      <c r="A44" s="12"/>
      <c r="B44" s="15" t="s">
        <v>95</v>
      </c>
      <c r="C44" s="40" t="s">
        <v>96</v>
      </c>
      <c r="D44" s="17" t="s">
        <v>97</v>
      </c>
      <c r="E44" s="18">
        <f t="shared" si="0"/>
        <v>-1.2310000000000159</v>
      </c>
      <c r="F44" s="18">
        <f>F41-F43</f>
        <v>13.744999999999999</v>
      </c>
      <c r="G44" s="18">
        <f>G41-G43</f>
        <v>21.360610339077262</v>
      </c>
      <c r="H44" s="18">
        <f>H41-H43</f>
        <v>-4.1111862145636522</v>
      </c>
      <c r="I44" s="18">
        <f>I41-I43</f>
        <v>-32.225424124513623</v>
      </c>
      <c r="J44" s="13"/>
      <c r="K44" s="19"/>
      <c r="L44" s="14"/>
    </row>
    <row r="45" spans="1:12" x14ac:dyDescent="0.25">
      <c r="A45" s="12"/>
      <c r="B45" s="15" t="s">
        <v>98</v>
      </c>
      <c r="C45" s="16" t="s">
        <v>99</v>
      </c>
      <c r="D45" s="17" t="s">
        <v>100</v>
      </c>
      <c r="E45" s="18">
        <f t="shared" si="0"/>
        <v>0</v>
      </c>
      <c r="F45" s="18">
        <f>(F9+F21+F26)-(F27+F38+F39+F40+F41)</f>
        <v>0</v>
      </c>
      <c r="G45" s="18">
        <f>(G9+G21+G26)-(G27+G38+G39+G40+G41)</f>
        <v>0</v>
      </c>
      <c r="H45" s="18">
        <f>(H9+H21+H26)-(H27+H38+H39+H40+H41)</f>
        <v>0</v>
      </c>
      <c r="I45" s="18">
        <f>(I9+I21+I26)-(I27+I38+I39+I40+I41)</f>
        <v>0</v>
      </c>
      <c r="J45" s="13"/>
      <c r="K45" s="19"/>
      <c r="L45" s="14"/>
    </row>
    <row r="46" spans="1:12" x14ac:dyDescent="0.25">
      <c r="A46" s="12"/>
      <c r="B46" s="111" t="s">
        <v>101</v>
      </c>
      <c r="C46" s="112"/>
      <c r="D46" s="112"/>
      <c r="E46" s="112"/>
      <c r="F46" s="112"/>
      <c r="G46" s="112"/>
      <c r="H46" s="112"/>
      <c r="I46" s="113"/>
      <c r="J46" s="13"/>
      <c r="K46" s="19"/>
      <c r="L46" s="14"/>
    </row>
    <row r="47" spans="1:12" x14ac:dyDescent="0.25">
      <c r="A47" s="12"/>
      <c r="B47" s="15" t="s">
        <v>102</v>
      </c>
      <c r="C47" s="16" t="s">
        <v>13</v>
      </c>
      <c r="D47" s="17" t="s">
        <v>103</v>
      </c>
      <c r="E47" s="18">
        <f t="shared" si="0"/>
        <v>8.0593306451612907</v>
      </c>
      <c r="F47" s="18">
        <f>F48+F49+F52+F55</f>
        <v>0.9458172043010753</v>
      </c>
      <c r="G47" s="18">
        <f>G48+G49+G52+G55</f>
        <v>6.8656344086021504</v>
      </c>
      <c r="H47" s="18">
        <f>H48+H49+H52+H55</f>
        <v>0.24787903225806451</v>
      </c>
      <c r="I47" s="18">
        <f>I48+I49+I52+I55</f>
        <v>0</v>
      </c>
      <c r="J47" s="13"/>
      <c r="K47" s="19"/>
      <c r="L47" s="14"/>
    </row>
    <row r="48" spans="1:12" x14ac:dyDescent="0.25">
      <c r="A48" s="12"/>
      <c r="B48" s="15" t="s">
        <v>104</v>
      </c>
      <c r="C48" s="20" t="s">
        <v>15</v>
      </c>
      <c r="D48" s="17" t="s">
        <v>105</v>
      </c>
      <c r="E48" s="18">
        <f t="shared" si="0"/>
        <v>0</v>
      </c>
      <c r="F48" s="21"/>
      <c r="G48" s="21"/>
      <c r="H48" s="21"/>
      <c r="I48" s="21"/>
      <c r="J48" s="13"/>
      <c r="K48" s="19"/>
      <c r="L48" s="14"/>
    </row>
    <row r="49" spans="1:12" x14ac:dyDescent="0.25">
      <c r="A49" s="12"/>
      <c r="B49" s="15" t="s">
        <v>106</v>
      </c>
      <c r="C49" s="20" t="s">
        <v>17</v>
      </c>
      <c r="D49" s="17" t="s">
        <v>107</v>
      </c>
      <c r="E49" s="18">
        <f t="shared" si="0"/>
        <v>0</v>
      </c>
      <c r="F49" s="18">
        <f>SUM(F50:F51)</f>
        <v>0</v>
      </c>
      <c r="G49" s="18">
        <f>SUM(G50:G51)</f>
        <v>0</v>
      </c>
      <c r="H49" s="18">
        <f>SUM(H50:H51)</f>
        <v>0</v>
      </c>
      <c r="I49" s="18">
        <f>SUM(I50:I51)</f>
        <v>0</v>
      </c>
      <c r="J49" s="13"/>
      <c r="K49" s="19"/>
      <c r="L49" s="14"/>
    </row>
    <row r="50" spans="1:12" x14ac:dyDescent="0.25">
      <c r="A50" s="12"/>
      <c r="B50" s="22" t="s">
        <v>108</v>
      </c>
      <c r="C50" s="23"/>
      <c r="D50" s="24" t="s">
        <v>107</v>
      </c>
      <c r="E50" s="25"/>
      <c r="F50" s="25"/>
      <c r="G50" s="25"/>
      <c r="H50" s="25"/>
      <c r="I50" s="25"/>
      <c r="J50" s="13"/>
      <c r="K50" s="19"/>
      <c r="L50" s="14"/>
    </row>
    <row r="51" spans="1:12" x14ac:dyDescent="0.25">
      <c r="A51" s="12"/>
      <c r="B51" s="26"/>
      <c r="C51" s="27" t="s">
        <v>20</v>
      </c>
      <c r="D51" s="28"/>
      <c r="E51" s="28"/>
      <c r="F51" s="28"/>
      <c r="G51" s="28"/>
      <c r="H51" s="28"/>
      <c r="I51" s="29"/>
      <c r="J51" s="13"/>
      <c r="K51" s="19"/>
      <c r="L51" s="14"/>
    </row>
    <row r="52" spans="1:12" x14ac:dyDescent="0.25">
      <c r="A52" s="12"/>
      <c r="B52" s="15" t="s">
        <v>109</v>
      </c>
      <c r="C52" s="20" t="s">
        <v>22</v>
      </c>
      <c r="D52" s="17" t="s">
        <v>110</v>
      </c>
      <c r="E52" s="18">
        <f t="shared" si="0"/>
        <v>0</v>
      </c>
      <c r="F52" s="18">
        <f>SUM(F53:F54)</f>
        <v>0</v>
      </c>
      <c r="G52" s="18">
        <f>SUM(G53:G54)</f>
        <v>0</v>
      </c>
      <c r="H52" s="18">
        <f>SUM(H53:H54)</f>
        <v>0</v>
      </c>
      <c r="I52" s="18">
        <f>SUM(I53:I54)</f>
        <v>0</v>
      </c>
      <c r="J52" s="13"/>
      <c r="K52" s="19"/>
      <c r="L52" s="14"/>
    </row>
    <row r="53" spans="1:12" x14ac:dyDescent="0.25">
      <c r="A53" s="12"/>
      <c r="B53" s="22" t="s">
        <v>111</v>
      </c>
      <c r="C53" s="23"/>
      <c r="D53" s="24" t="s">
        <v>110</v>
      </c>
      <c r="E53" s="25"/>
      <c r="F53" s="25"/>
      <c r="G53" s="25"/>
      <c r="H53" s="25"/>
      <c r="I53" s="25"/>
      <c r="J53" s="13"/>
      <c r="K53" s="19"/>
      <c r="L53" s="14"/>
    </row>
    <row r="54" spans="1:12" x14ac:dyDescent="0.25">
      <c r="A54" s="12"/>
      <c r="B54" s="26"/>
      <c r="C54" s="27" t="s">
        <v>20</v>
      </c>
      <c r="D54" s="28"/>
      <c r="E54" s="28"/>
      <c r="F54" s="28"/>
      <c r="G54" s="28"/>
      <c r="H54" s="28"/>
      <c r="I54" s="29"/>
      <c r="J54" s="13"/>
      <c r="K54" s="19"/>
      <c r="L54" s="14"/>
    </row>
    <row r="55" spans="1:12" x14ac:dyDescent="0.25">
      <c r="A55" s="12"/>
      <c r="B55" s="15" t="s">
        <v>112</v>
      </c>
      <c r="C55" s="20" t="s">
        <v>26</v>
      </c>
      <c r="D55" s="17" t="s">
        <v>113</v>
      </c>
      <c r="E55" s="18">
        <f t="shared" si="0"/>
        <v>8.0593306451612907</v>
      </c>
      <c r="F55" s="18">
        <f>SUM(F56:F58)</f>
        <v>0.9458172043010753</v>
      </c>
      <c r="G55" s="18">
        <f>SUM(G56:G58)</f>
        <v>6.8656344086021504</v>
      </c>
      <c r="H55" s="18">
        <f>SUM(H56:H58)</f>
        <v>0.24787903225806451</v>
      </c>
      <c r="I55" s="18">
        <f>SUM(I56:I58)</f>
        <v>0</v>
      </c>
      <c r="J55" s="13"/>
      <c r="K55" s="19"/>
      <c r="L55" s="14"/>
    </row>
    <row r="56" spans="1:12" x14ac:dyDescent="0.25">
      <c r="A56" s="12"/>
      <c r="B56" s="22" t="s">
        <v>114</v>
      </c>
      <c r="C56" s="23"/>
      <c r="D56" s="24" t="s">
        <v>113</v>
      </c>
      <c r="E56" s="25"/>
      <c r="F56" s="25"/>
      <c r="G56" s="25"/>
      <c r="H56" s="25"/>
      <c r="I56" s="25"/>
      <c r="J56" s="13"/>
      <c r="K56" s="19"/>
      <c r="L56" s="14"/>
    </row>
    <row r="57" spans="1:12" x14ac:dyDescent="0.25">
      <c r="A57" s="30" t="s">
        <v>29</v>
      </c>
      <c r="B57" s="31" t="s">
        <v>115</v>
      </c>
      <c r="C57" s="32" t="s">
        <v>31</v>
      </c>
      <c r="D57" s="33">
        <v>1461</v>
      </c>
      <c r="E57" s="34">
        <f>SUM(F57:I57)</f>
        <v>8.0593306451612907</v>
      </c>
      <c r="F57" s="35">
        <f>F19/744</f>
        <v>0.9458172043010753</v>
      </c>
      <c r="G57" s="35">
        <f>G19/744</f>
        <v>6.8656344086021504</v>
      </c>
      <c r="H57" s="35">
        <f>H19/744</f>
        <v>0.24787903225806451</v>
      </c>
      <c r="I57" s="35"/>
      <c r="J57" s="13"/>
      <c r="K57" s="37" t="s">
        <v>32</v>
      </c>
      <c r="L57" s="38" t="s">
        <v>33</v>
      </c>
    </row>
    <row r="58" spans="1:12" x14ac:dyDescent="0.25">
      <c r="A58" s="12"/>
      <c r="B58" s="26"/>
      <c r="C58" s="27" t="s">
        <v>20</v>
      </c>
      <c r="D58" s="28"/>
      <c r="E58" s="28"/>
      <c r="F58" s="28"/>
      <c r="G58" s="28"/>
      <c r="H58" s="28"/>
      <c r="I58" s="29"/>
      <c r="J58" s="13"/>
      <c r="K58" s="19"/>
      <c r="L58" s="14"/>
    </row>
    <row r="59" spans="1:12" x14ac:dyDescent="0.25">
      <c r="A59" s="12"/>
      <c r="B59" s="15" t="s">
        <v>116</v>
      </c>
      <c r="C59" s="16" t="s">
        <v>35</v>
      </c>
      <c r="D59" s="17" t="s">
        <v>117</v>
      </c>
      <c r="E59" s="18">
        <f t="shared" si="0"/>
        <v>2.9428817204301092</v>
      </c>
      <c r="F59" s="18">
        <f>F61+F62+F63</f>
        <v>0</v>
      </c>
      <c r="G59" s="18">
        <f>G60+G62+G63</f>
        <v>0</v>
      </c>
      <c r="H59" s="18">
        <f>H60+H61+H63</f>
        <v>2.0634220430107533</v>
      </c>
      <c r="I59" s="18">
        <f>I60+I61+I62</f>
        <v>0.87945967741935571</v>
      </c>
      <c r="J59" s="13"/>
      <c r="K59" s="19"/>
      <c r="L59" s="14"/>
    </row>
    <row r="60" spans="1:12" x14ac:dyDescent="0.25">
      <c r="A60" s="12"/>
      <c r="B60" s="15" t="s">
        <v>118</v>
      </c>
      <c r="C60" s="20" t="s">
        <v>7</v>
      </c>
      <c r="D60" s="17" t="s">
        <v>119</v>
      </c>
      <c r="E60" s="18">
        <f t="shared" si="0"/>
        <v>0.92734274193548383</v>
      </c>
      <c r="F60" s="39"/>
      <c r="G60" s="21"/>
      <c r="H60" s="21">
        <f>H22/744</f>
        <v>0.92734274193548383</v>
      </c>
      <c r="I60" s="21"/>
      <c r="J60" s="13"/>
      <c r="K60" s="19"/>
      <c r="L60" s="14"/>
    </row>
    <row r="61" spans="1:12" x14ac:dyDescent="0.25">
      <c r="A61" s="12"/>
      <c r="B61" s="15" t="s">
        <v>120</v>
      </c>
      <c r="C61" s="20" t="s">
        <v>8</v>
      </c>
      <c r="D61" s="17" t="s">
        <v>121</v>
      </c>
      <c r="E61" s="18">
        <f t="shared" si="0"/>
        <v>1.1360793010752694</v>
      </c>
      <c r="F61" s="21"/>
      <c r="G61" s="46"/>
      <c r="H61" s="21">
        <f>H23/744</f>
        <v>1.1360793010752694</v>
      </c>
      <c r="I61" s="21"/>
      <c r="J61" s="13"/>
      <c r="K61" s="19"/>
      <c r="L61" s="14"/>
    </row>
    <row r="62" spans="1:12" x14ac:dyDescent="0.25">
      <c r="A62" s="12"/>
      <c r="B62" s="15" t="s">
        <v>122</v>
      </c>
      <c r="C62" s="20" t="s">
        <v>9</v>
      </c>
      <c r="D62" s="17" t="s">
        <v>123</v>
      </c>
      <c r="E62" s="18">
        <f t="shared" si="0"/>
        <v>0.87945967741935571</v>
      </c>
      <c r="F62" s="21"/>
      <c r="G62" s="21"/>
      <c r="H62" s="39"/>
      <c r="I62" s="21">
        <f>I24/744</f>
        <v>0.87945967741935571</v>
      </c>
      <c r="J62" s="13"/>
      <c r="K62" s="19"/>
      <c r="L62" s="14"/>
    </row>
    <row r="63" spans="1:12" x14ac:dyDescent="0.25">
      <c r="A63" s="12"/>
      <c r="B63" s="15" t="s">
        <v>124</v>
      </c>
      <c r="C63" s="20" t="s">
        <v>44</v>
      </c>
      <c r="D63" s="17" t="s">
        <v>125</v>
      </c>
      <c r="E63" s="18">
        <f t="shared" si="0"/>
        <v>0</v>
      </c>
      <c r="F63" s="21"/>
      <c r="G63" s="21"/>
      <c r="H63" s="21"/>
      <c r="I63" s="39"/>
      <c r="J63" s="13"/>
      <c r="K63" s="19"/>
      <c r="L63" s="14"/>
    </row>
    <row r="64" spans="1:12" x14ac:dyDescent="0.25">
      <c r="A64" s="12"/>
      <c r="B64" s="15" t="s">
        <v>126</v>
      </c>
      <c r="C64" s="40" t="s">
        <v>47</v>
      </c>
      <c r="D64" s="17" t="s">
        <v>127</v>
      </c>
      <c r="E64" s="18">
        <f t="shared" si="0"/>
        <v>0</v>
      </c>
      <c r="F64" s="21"/>
      <c r="G64" s="21"/>
      <c r="H64" s="21"/>
      <c r="I64" s="21"/>
      <c r="J64" s="13"/>
      <c r="K64" s="19"/>
      <c r="L64" s="14"/>
    </row>
    <row r="65" spans="1:12" x14ac:dyDescent="0.25">
      <c r="A65" s="12"/>
      <c r="B65" s="15" t="s">
        <v>128</v>
      </c>
      <c r="C65" s="16" t="s">
        <v>50</v>
      </c>
      <c r="D65" s="41" t="s">
        <v>129</v>
      </c>
      <c r="E65" s="18">
        <f t="shared" si="0"/>
        <v>7.8513077956989257</v>
      </c>
      <c r="F65" s="18">
        <f>F66+F68+F71+F75</f>
        <v>0</v>
      </c>
      <c r="G65" s="18">
        <f>G66+G68+G71+G75</f>
        <v>5.6490954301075273</v>
      </c>
      <c r="H65" s="18">
        <f>H66+H68+H71+H75</f>
        <v>1.3683682795698926</v>
      </c>
      <c r="I65" s="18">
        <f>I66+I68+I71+I75</f>
        <v>0.83384408602150539</v>
      </c>
      <c r="J65" s="13"/>
      <c r="K65" s="19"/>
      <c r="L65" s="14"/>
    </row>
    <row r="66" spans="1:12" ht="22.5" x14ac:dyDescent="0.25">
      <c r="A66" s="12"/>
      <c r="B66" s="15" t="s">
        <v>130</v>
      </c>
      <c r="C66" s="20" t="s">
        <v>53</v>
      </c>
      <c r="D66" s="17" t="s">
        <v>131</v>
      </c>
      <c r="E66" s="18">
        <f t="shared" si="0"/>
        <v>0</v>
      </c>
      <c r="F66" s="21"/>
      <c r="G66" s="21"/>
      <c r="H66" s="21"/>
      <c r="I66" s="21"/>
      <c r="J66" s="13"/>
      <c r="K66" s="19"/>
      <c r="L66" s="14"/>
    </row>
    <row r="67" spans="1:12" ht="22.5" x14ac:dyDescent="0.25">
      <c r="A67" s="12"/>
      <c r="B67" s="15" t="s">
        <v>132</v>
      </c>
      <c r="C67" s="42" t="s">
        <v>56</v>
      </c>
      <c r="D67" s="17" t="s">
        <v>133</v>
      </c>
      <c r="E67" s="18">
        <f t="shared" si="0"/>
        <v>0</v>
      </c>
      <c r="F67" s="21"/>
      <c r="G67" s="21"/>
      <c r="H67" s="21"/>
      <c r="I67" s="21"/>
      <c r="J67" s="13"/>
      <c r="K67" s="19"/>
      <c r="L67" s="14"/>
    </row>
    <row r="68" spans="1:12" x14ac:dyDescent="0.25">
      <c r="A68" s="12"/>
      <c r="B68" s="15" t="s">
        <v>134</v>
      </c>
      <c r="C68" s="20" t="s">
        <v>59</v>
      </c>
      <c r="D68" s="17" t="s">
        <v>135</v>
      </c>
      <c r="E68" s="18">
        <f t="shared" si="0"/>
        <v>3.1544018817204305</v>
      </c>
      <c r="F68" s="21"/>
      <c r="G68" s="21">
        <f>G30/744</f>
        <v>0.95218951612903224</v>
      </c>
      <c r="H68" s="21">
        <f>H30/744</f>
        <v>1.3683682795698926</v>
      </c>
      <c r="I68" s="21">
        <f>I30/744</f>
        <v>0.83384408602150539</v>
      </c>
      <c r="J68" s="13"/>
      <c r="K68" s="19"/>
      <c r="L68" s="14"/>
    </row>
    <row r="69" spans="1:12" x14ac:dyDescent="0.25">
      <c r="A69" s="12"/>
      <c r="B69" s="15" t="s">
        <v>136</v>
      </c>
      <c r="C69" s="42" t="s">
        <v>62</v>
      </c>
      <c r="D69" s="17" t="s">
        <v>137</v>
      </c>
      <c r="E69" s="18">
        <f t="shared" si="0"/>
        <v>0</v>
      </c>
      <c r="F69" s="21"/>
      <c r="G69" s="21"/>
      <c r="H69" s="21"/>
      <c r="I69" s="21"/>
      <c r="J69" s="13"/>
      <c r="K69" s="19"/>
      <c r="L69" s="14"/>
    </row>
    <row r="70" spans="1:12" ht="22.5" x14ac:dyDescent="0.25">
      <c r="A70" s="12"/>
      <c r="B70" s="15" t="s">
        <v>138</v>
      </c>
      <c r="C70" s="43" t="s">
        <v>56</v>
      </c>
      <c r="D70" s="17" t="s">
        <v>139</v>
      </c>
      <c r="E70" s="18">
        <f t="shared" si="0"/>
        <v>0</v>
      </c>
      <c r="F70" s="21"/>
      <c r="G70" s="21"/>
      <c r="H70" s="21"/>
      <c r="I70" s="21"/>
      <c r="J70" s="13"/>
      <c r="K70" s="19"/>
      <c r="L70" s="14"/>
    </row>
    <row r="71" spans="1:12" x14ac:dyDescent="0.25">
      <c r="A71" s="12"/>
      <c r="B71" s="15" t="s">
        <v>140</v>
      </c>
      <c r="C71" s="20" t="s">
        <v>67</v>
      </c>
      <c r="D71" s="17" t="s">
        <v>141</v>
      </c>
      <c r="E71" s="18">
        <f t="shared" si="0"/>
        <v>4.6969059139784948</v>
      </c>
      <c r="F71" s="18">
        <f>SUM(F72:F74)</f>
        <v>0</v>
      </c>
      <c r="G71" s="18">
        <f>SUM(G72:G74)</f>
        <v>4.6969059139784948</v>
      </c>
      <c r="H71" s="18">
        <f>SUM(H72:H74)</f>
        <v>0</v>
      </c>
      <c r="I71" s="18">
        <f>SUM(I72:I74)</f>
        <v>0</v>
      </c>
      <c r="J71" s="13"/>
      <c r="K71" s="19"/>
      <c r="L71" s="14"/>
    </row>
    <row r="72" spans="1:12" x14ac:dyDescent="0.25">
      <c r="A72" s="12"/>
      <c r="B72" s="22" t="s">
        <v>142</v>
      </c>
      <c r="C72" s="23"/>
      <c r="D72" s="24" t="s">
        <v>141</v>
      </c>
      <c r="E72" s="25"/>
      <c r="F72" s="25"/>
      <c r="G72" s="25"/>
      <c r="H72" s="25"/>
      <c r="I72" s="25"/>
      <c r="J72" s="13"/>
      <c r="K72" s="19"/>
      <c r="L72" s="14"/>
    </row>
    <row r="73" spans="1:12" x14ac:dyDescent="0.25">
      <c r="A73" s="30" t="s">
        <v>29</v>
      </c>
      <c r="B73" s="31" t="s">
        <v>143</v>
      </c>
      <c r="C73" s="32" t="s">
        <v>71</v>
      </c>
      <c r="D73" s="33">
        <v>1781</v>
      </c>
      <c r="E73" s="34">
        <f>SUM(F73:I73)</f>
        <v>4.6969059139784948</v>
      </c>
      <c r="F73" s="35"/>
      <c r="G73" s="35">
        <f>G35/744</f>
        <v>4.6969059139784948</v>
      </c>
      <c r="H73" s="35"/>
      <c r="I73" s="36"/>
      <c r="J73" s="13"/>
      <c r="K73" s="37" t="s">
        <v>72</v>
      </c>
      <c r="L73" s="38" t="s">
        <v>73</v>
      </c>
    </row>
    <row r="74" spans="1:12" x14ac:dyDescent="0.25">
      <c r="A74" s="12"/>
      <c r="B74" s="26"/>
      <c r="C74" s="27" t="s">
        <v>20</v>
      </c>
      <c r="D74" s="28"/>
      <c r="E74" s="28"/>
      <c r="F74" s="28"/>
      <c r="G74" s="28"/>
      <c r="H74" s="28"/>
      <c r="I74" s="29"/>
      <c r="J74" s="13"/>
      <c r="K74" s="19"/>
      <c r="L74" s="14"/>
    </row>
    <row r="75" spans="1:12" x14ac:dyDescent="0.25">
      <c r="A75" s="12"/>
      <c r="B75" s="15" t="s">
        <v>144</v>
      </c>
      <c r="C75" s="45" t="s">
        <v>75</v>
      </c>
      <c r="D75" s="17" t="s">
        <v>145</v>
      </c>
      <c r="E75" s="18">
        <f t="shared" si="0"/>
        <v>0</v>
      </c>
      <c r="F75" s="21"/>
      <c r="G75" s="21"/>
      <c r="H75" s="21"/>
      <c r="I75" s="21"/>
      <c r="J75" s="13"/>
      <c r="K75" s="19"/>
      <c r="L75" s="14"/>
    </row>
    <row r="76" spans="1:12" x14ac:dyDescent="0.25">
      <c r="A76" s="12"/>
      <c r="B76" s="15" t="s">
        <v>146</v>
      </c>
      <c r="C76" s="16" t="s">
        <v>78</v>
      </c>
      <c r="D76" s="17" t="s">
        <v>147</v>
      </c>
      <c r="E76" s="18">
        <f t="shared" si="0"/>
        <v>2.9428817204301088</v>
      </c>
      <c r="F76" s="21">
        <f>F38/744</f>
        <v>0.92734274193548383</v>
      </c>
      <c r="G76" s="21">
        <f>G38/744</f>
        <v>1.1360793010752694</v>
      </c>
      <c r="H76" s="21">
        <f>H38/744</f>
        <v>0.8794596774193556</v>
      </c>
      <c r="I76" s="21"/>
      <c r="J76" s="13"/>
      <c r="K76" s="19"/>
      <c r="L76" s="14"/>
    </row>
    <row r="77" spans="1:12" x14ac:dyDescent="0.25">
      <c r="A77" s="12"/>
      <c r="B77" s="15" t="s">
        <v>148</v>
      </c>
      <c r="C77" s="16" t="s">
        <v>81</v>
      </c>
      <c r="D77" s="17" t="s">
        <v>149</v>
      </c>
      <c r="E77" s="18">
        <f t="shared" si="0"/>
        <v>0</v>
      </c>
      <c r="F77" s="21"/>
      <c r="G77" s="21"/>
      <c r="H77" s="21"/>
      <c r="I77" s="21"/>
      <c r="J77" s="13"/>
      <c r="K77" s="19"/>
      <c r="L77" s="14"/>
    </row>
    <row r="78" spans="1:12" x14ac:dyDescent="0.25">
      <c r="A78" s="12"/>
      <c r="B78" s="15" t="s">
        <v>150</v>
      </c>
      <c r="C78" s="16" t="s">
        <v>84</v>
      </c>
      <c r="D78" s="17" t="s">
        <v>151</v>
      </c>
      <c r="E78" s="18">
        <f t="shared" si="0"/>
        <v>0</v>
      </c>
      <c r="F78" s="21"/>
      <c r="G78" s="21"/>
      <c r="H78" s="21"/>
      <c r="I78" s="21"/>
      <c r="J78" s="13"/>
      <c r="K78" s="19"/>
      <c r="L78" s="14"/>
    </row>
    <row r="79" spans="1:12" x14ac:dyDescent="0.25">
      <c r="A79" s="12"/>
      <c r="B79" s="15" t="s">
        <v>152</v>
      </c>
      <c r="C79" s="16" t="s">
        <v>87</v>
      </c>
      <c r="D79" s="17" t="s">
        <v>153</v>
      </c>
      <c r="E79" s="18">
        <f t="shared" si="0"/>
        <v>0.20802284946236557</v>
      </c>
      <c r="F79" s="21">
        <f>F41/744</f>
        <v>1.8474462365591398E-2</v>
      </c>
      <c r="G79" s="21">
        <f>G41/744</f>
        <v>8.0459677419354836E-2</v>
      </c>
      <c r="H79" s="21">
        <f>H41/744</f>
        <v>6.347311827956989E-2</v>
      </c>
      <c r="I79" s="21">
        <f>I41/744</f>
        <v>4.5615591397849466E-2</v>
      </c>
      <c r="J79" s="13"/>
      <c r="K79" s="19"/>
      <c r="L79" s="14"/>
    </row>
    <row r="80" spans="1:12" x14ac:dyDescent="0.25">
      <c r="A80" s="12"/>
      <c r="B80" s="15" t="s">
        <v>154</v>
      </c>
      <c r="C80" s="20" t="s">
        <v>155</v>
      </c>
      <c r="D80" s="17" t="s">
        <v>156</v>
      </c>
      <c r="E80" s="18">
        <f t="shared" si="0"/>
        <v>0</v>
      </c>
      <c r="F80" s="21"/>
      <c r="G80" s="21"/>
      <c r="H80" s="21"/>
      <c r="I80" s="21"/>
      <c r="J80" s="13"/>
      <c r="K80" s="19"/>
      <c r="L80" s="14"/>
    </row>
    <row r="81" spans="1:12" ht="22.5" x14ac:dyDescent="0.25">
      <c r="A81" s="12"/>
      <c r="B81" s="15" t="s">
        <v>157</v>
      </c>
      <c r="C81" s="16" t="s">
        <v>93</v>
      </c>
      <c r="D81" s="17" t="s">
        <v>158</v>
      </c>
      <c r="E81" s="18">
        <f t="shared" si="0"/>
        <v>0.20967741935483872</v>
      </c>
      <c r="F81" s="21"/>
      <c r="G81" s="21">
        <f>G43/744</f>
        <v>5.1749179651777874E-2</v>
      </c>
      <c r="H81" s="21">
        <f>H43/744</f>
        <v>6.8998906202370494E-2</v>
      </c>
      <c r="I81" s="21">
        <f>I43/744</f>
        <v>8.892933350069035E-2</v>
      </c>
      <c r="J81" s="13"/>
      <c r="K81" s="19"/>
      <c r="L81" s="14"/>
    </row>
    <row r="82" spans="1:12" ht="33.75" x14ac:dyDescent="0.25">
      <c r="A82" s="12"/>
      <c r="B82" s="15" t="s">
        <v>159</v>
      </c>
      <c r="C82" s="40" t="s">
        <v>96</v>
      </c>
      <c r="D82" s="17" t="s">
        <v>160</v>
      </c>
      <c r="E82" s="18">
        <f t="shared" si="0"/>
        <v>-1.6545698924731247E-3</v>
      </c>
      <c r="F82" s="18">
        <f>F79-F81</f>
        <v>1.8474462365591398E-2</v>
      </c>
      <c r="G82" s="18">
        <f>G79-G81</f>
        <v>2.8710497767576962E-2</v>
      </c>
      <c r="H82" s="18">
        <f>H79-H81</f>
        <v>-5.525787922800604E-3</v>
      </c>
      <c r="I82" s="18">
        <f>I79-I81</f>
        <v>-4.3313742102840884E-2</v>
      </c>
      <c r="J82" s="13"/>
      <c r="K82" s="19"/>
      <c r="L82" s="14"/>
    </row>
    <row r="83" spans="1:12" x14ac:dyDescent="0.25">
      <c r="A83" s="12"/>
      <c r="B83" s="15" t="s">
        <v>161</v>
      </c>
      <c r="C83" s="16" t="s">
        <v>99</v>
      </c>
      <c r="D83" s="17" t="s">
        <v>162</v>
      </c>
      <c r="E83" s="18">
        <f t="shared" si="0"/>
        <v>8.8817841970012523E-16</v>
      </c>
      <c r="F83" s="18">
        <f>(F47+F59+F64)-(F65+F76+F77+F78+F79)</f>
        <v>0</v>
      </c>
      <c r="G83" s="18">
        <f>(G47+G59+G64)-(G65+G76+G77+G78+G79)</f>
        <v>0</v>
      </c>
      <c r="H83" s="18">
        <f>(H47+H59+H64)-(H65+H76+H77+H78+H79)</f>
        <v>0</v>
      </c>
      <c r="I83" s="18">
        <f>(I47+I59+I64)-(I65+I76+I77+I78+I79)</f>
        <v>8.8817841970012523E-16</v>
      </c>
      <c r="J83" s="13"/>
      <c r="K83" s="19"/>
      <c r="L83" s="14"/>
    </row>
    <row r="84" spans="1:12" x14ac:dyDescent="0.25">
      <c r="A84" s="12"/>
      <c r="B84" s="111" t="s">
        <v>163</v>
      </c>
      <c r="C84" s="112"/>
      <c r="D84" s="112"/>
      <c r="E84" s="112"/>
      <c r="F84" s="112"/>
      <c r="G84" s="112"/>
      <c r="H84" s="112"/>
      <c r="I84" s="113"/>
      <c r="J84" s="13"/>
      <c r="K84" s="19"/>
      <c r="L84" s="14"/>
    </row>
    <row r="85" spans="1:12" x14ac:dyDescent="0.25">
      <c r="A85" s="12"/>
      <c r="B85" s="15" t="s">
        <v>164</v>
      </c>
      <c r="C85" s="16" t="s">
        <v>165</v>
      </c>
      <c r="D85" s="17" t="s">
        <v>166</v>
      </c>
      <c r="E85" s="18">
        <f t="shared" si="0"/>
        <v>0</v>
      </c>
      <c r="F85" s="21"/>
      <c r="G85" s="21"/>
      <c r="H85" s="21"/>
      <c r="I85" s="21"/>
      <c r="J85" s="13"/>
      <c r="K85" s="19"/>
      <c r="L85" s="14"/>
    </row>
    <row r="86" spans="1:12" x14ac:dyDescent="0.25">
      <c r="A86" s="12"/>
      <c r="B86" s="15" t="s">
        <v>167</v>
      </c>
      <c r="C86" s="16" t="s">
        <v>168</v>
      </c>
      <c r="D86" s="17" t="s">
        <v>169</v>
      </c>
      <c r="E86" s="18">
        <f t="shared" si="0"/>
        <v>25.006</v>
      </c>
      <c r="F86" s="21"/>
      <c r="G86" s="21">
        <v>25.006</v>
      </c>
      <c r="H86" s="21"/>
      <c r="I86" s="21"/>
      <c r="J86" s="13"/>
      <c r="K86" s="19"/>
      <c r="L86" s="14"/>
    </row>
    <row r="87" spans="1:12" x14ac:dyDescent="0.25">
      <c r="A87" s="12"/>
      <c r="B87" s="15" t="s">
        <v>170</v>
      </c>
      <c r="C87" s="16" t="s">
        <v>171</v>
      </c>
      <c r="D87" s="17" t="s">
        <v>172</v>
      </c>
      <c r="E87" s="18">
        <f t="shared" si="0"/>
        <v>0</v>
      </c>
      <c r="F87" s="21"/>
      <c r="G87" s="21"/>
      <c r="H87" s="21"/>
      <c r="I87" s="21"/>
      <c r="J87" s="13"/>
      <c r="K87" s="19"/>
      <c r="L87" s="14"/>
    </row>
    <row r="88" spans="1:12" x14ac:dyDescent="0.25">
      <c r="A88" s="12"/>
      <c r="B88" s="111" t="s">
        <v>173</v>
      </c>
      <c r="C88" s="112"/>
      <c r="D88" s="112"/>
      <c r="E88" s="112"/>
      <c r="F88" s="112"/>
      <c r="G88" s="112"/>
      <c r="H88" s="112"/>
      <c r="I88" s="113"/>
      <c r="J88" s="13"/>
      <c r="K88" s="19"/>
      <c r="L88" s="14"/>
    </row>
    <row r="89" spans="1:12" x14ac:dyDescent="0.25">
      <c r="A89" s="12"/>
      <c r="B89" s="15" t="s">
        <v>174</v>
      </c>
      <c r="C89" s="16" t="s">
        <v>175</v>
      </c>
      <c r="D89" s="17" t="s">
        <v>176</v>
      </c>
      <c r="E89" s="18">
        <f t="shared" si="0"/>
        <v>0</v>
      </c>
      <c r="F89" s="18">
        <f>SUM(F90:F91)</f>
        <v>0</v>
      </c>
      <c r="G89" s="18">
        <f>SUM(G90:G91)</f>
        <v>0</v>
      </c>
      <c r="H89" s="18">
        <f>SUM(H90:H91)</f>
        <v>0</v>
      </c>
      <c r="I89" s="18">
        <f>SUM(I90:I91)</f>
        <v>0</v>
      </c>
      <c r="J89" s="13"/>
      <c r="K89" s="19"/>
      <c r="L89" s="14"/>
    </row>
    <row r="90" spans="1:12" x14ac:dyDescent="0.25">
      <c r="A90" s="2"/>
      <c r="B90" s="47" t="s">
        <v>177</v>
      </c>
      <c r="C90" s="20" t="s">
        <v>178</v>
      </c>
      <c r="D90" s="17" t="s">
        <v>179</v>
      </c>
      <c r="E90" s="18">
        <f t="shared" si="0"/>
        <v>0</v>
      </c>
      <c r="F90" s="48"/>
      <c r="G90" s="48"/>
      <c r="H90" s="48"/>
      <c r="I90" s="48"/>
      <c r="J90" s="8"/>
      <c r="K90" s="19"/>
      <c r="L90" s="1"/>
    </row>
    <row r="91" spans="1:12" x14ac:dyDescent="0.25">
      <c r="A91" s="2"/>
      <c r="B91" s="47" t="s">
        <v>180</v>
      </c>
      <c r="C91" s="20" t="s">
        <v>181</v>
      </c>
      <c r="D91" s="17" t="s">
        <v>182</v>
      </c>
      <c r="E91" s="18">
        <f t="shared" si="0"/>
        <v>0</v>
      </c>
      <c r="F91" s="49">
        <f>F94</f>
        <v>0</v>
      </c>
      <c r="G91" s="49">
        <f>G94</f>
        <v>0</v>
      </c>
      <c r="H91" s="49">
        <f>H94</f>
        <v>0</v>
      </c>
      <c r="I91" s="49">
        <f>I94</f>
        <v>0</v>
      </c>
      <c r="J91" s="8"/>
      <c r="K91" s="19"/>
      <c r="L91" s="1"/>
    </row>
    <row r="92" spans="1:12" x14ac:dyDescent="0.25">
      <c r="A92" s="2"/>
      <c r="B92" s="47" t="s">
        <v>183</v>
      </c>
      <c r="C92" s="42" t="s">
        <v>184</v>
      </c>
      <c r="D92" s="17" t="s">
        <v>185</v>
      </c>
      <c r="E92" s="18">
        <f t="shared" si="0"/>
        <v>0</v>
      </c>
      <c r="F92" s="48"/>
      <c r="G92" s="48"/>
      <c r="H92" s="48"/>
      <c r="I92" s="48"/>
      <c r="J92" s="8"/>
      <c r="K92" s="19"/>
      <c r="L92" s="1"/>
    </row>
    <row r="93" spans="1:12" x14ac:dyDescent="0.25">
      <c r="A93" s="2"/>
      <c r="B93" s="47" t="s">
        <v>186</v>
      </c>
      <c r="C93" s="43" t="s">
        <v>187</v>
      </c>
      <c r="D93" s="17" t="s">
        <v>188</v>
      </c>
      <c r="E93" s="18">
        <f t="shared" si="0"/>
        <v>0</v>
      </c>
      <c r="F93" s="48"/>
      <c r="G93" s="48"/>
      <c r="H93" s="48"/>
      <c r="I93" s="48"/>
      <c r="J93" s="8"/>
      <c r="K93" s="19"/>
      <c r="L93" s="1"/>
    </row>
    <row r="94" spans="1:12" x14ac:dyDescent="0.25">
      <c r="A94" s="2"/>
      <c r="B94" s="47" t="s">
        <v>189</v>
      </c>
      <c r="C94" s="42" t="s">
        <v>190</v>
      </c>
      <c r="D94" s="17" t="s">
        <v>191</v>
      </c>
      <c r="E94" s="18">
        <f t="shared" si="0"/>
        <v>0</v>
      </c>
      <c r="F94" s="48"/>
      <c r="G94" s="48"/>
      <c r="H94" s="48"/>
      <c r="I94" s="48"/>
      <c r="J94" s="8"/>
      <c r="K94" s="19"/>
      <c r="L94" s="1"/>
    </row>
    <row r="95" spans="1:12" x14ac:dyDescent="0.25">
      <c r="A95" s="2"/>
      <c r="B95" s="47" t="s">
        <v>192</v>
      </c>
      <c r="C95" s="16" t="s">
        <v>193</v>
      </c>
      <c r="D95" s="17" t="s">
        <v>194</v>
      </c>
      <c r="E95" s="18">
        <f t="shared" si="0"/>
        <v>0</v>
      </c>
      <c r="F95" s="49">
        <f>F96+F112</f>
        <v>0</v>
      </c>
      <c r="G95" s="49">
        <f>G96+G112</f>
        <v>0</v>
      </c>
      <c r="H95" s="49">
        <f>H96+H112</f>
        <v>0</v>
      </c>
      <c r="I95" s="49">
        <f>I96+I112</f>
        <v>0</v>
      </c>
      <c r="J95" s="8"/>
      <c r="K95" s="19"/>
      <c r="L95" s="1"/>
    </row>
    <row r="96" spans="1:12" x14ac:dyDescent="0.25">
      <c r="A96" s="2"/>
      <c r="B96" s="47" t="s">
        <v>195</v>
      </c>
      <c r="C96" s="20" t="s">
        <v>196</v>
      </c>
      <c r="D96" s="17" t="s">
        <v>197</v>
      </c>
      <c r="E96" s="18">
        <f t="shared" si="0"/>
        <v>0</v>
      </c>
      <c r="F96" s="49">
        <f>F97+F98</f>
        <v>0</v>
      </c>
      <c r="G96" s="49">
        <f>G97+G98</f>
        <v>0</v>
      </c>
      <c r="H96" s="49">
        <f>H97+H98</f>
        <v>0</v>
      </c>
      <c r="I96" s="49">
        <f>I97+I98</f>
        <v>0</v>
      </c>
      <c r="J96" s="8"/>
      <c r="K96" s="19"/>
      <c r="L96" s="1"/>
    </row>
    <row r="97" spans="1:12" x14ac:dyDescent="0.25">
      <c r="A97" s="2"/>
      <c r="B97" s="47" t="s">
        <v>198</v>
      </c>
      <c r="C97" s="42" t="s">
        <v>199</v>
      </c>
      <c r="D97" s="17" t="s">
        <v>200</v>
      </c>
      <c r="E97" s="18">
        <f t="shared" si="0"/>
        <v>0</v>
      </c>
      <c r="F97" s="48"/>
      <c r="G97" s="48"/>
      <c r="H97" s="48"/>
      <c r="I97" s="48"/>
      <c r="J97" s="8"/>
      <c r="K97" s="19"/>
      <c r="L97" s="1"/>
    </row>
    <row r="98" spans="1:12" x14ac:dyDescent="0.25">
      <c r="A98" s="2"/>
      <c r="B98" s="47" t="s">
        <v>201</v>
      </c>
      <c r="C98" s="42" t="s">
        <v>202</v>
      </c>
      <c r="D98" s="17" t="s">
        <v>203</v>
      </c>
      <c r="E98" s="18">
        <f t="shared" si="0"/>
        <v>0</v>
      </c>
      <c r="F98" s="49">
        <f>F99+F102+F105+F108+F109+F110+F111</f>
        <v>0</v>
      </c>
      <c r="G98" s="49">
        <f>G99+G102+G105+G108+G109+G110+G111</f>
        <v>0</v>
      </c>
      <c r="H98" s="49">
        <f>H99+H102+H105+H108+H109+H110+H111</f>
        <v>0</v>
      </c>
      <c r="I98" s="49">
        <f>I99+I102+I105+I108+I109+I110+I111</f>
        <v>0</v>
      </c>
      <c r="J98" s="8"/>
      <c r="K98" s="19"/>
      <c r="L98" s="1"/>
    </row>
    <row r="99" spans="1:12" ht="45" x14ac:dyDescent="0.25">
      <c r="A99" s="2"/>
      <c r="B99" s="47" t="s">
        <v>204</v>
      </c>
      <c r="C99" s="43" t="s">
        <v>205</v>
      </c>
      <c r="D99" s="17" t="s">
        <v>206</v>
      </c>
      <c r="E99" s="18">
        <f t="shared" si="0"/>
        <v>0</v>
      </c>
      <c r="F99" s="50">
        <f>F100+F101</f>
        <v>0</v>
      </c>
      <c r="G99" s="50">
        <f>G100+G101</f>
        <v>0</v>
      </c>
      <c r="H99" s="50">
        <f>H100+H101</f>
        <v>0</v>
      </c>
      <c r="I99" s="50">
        <f>I100+I101</f>
        <v>0</v>
      </c>
      <c r="J99" s="8"/>
      <c r="K99" s="19"/>
      <c r="L99" s="1"/>
    </row>
    <row r="100" spans="1:12" x14ac:dyDescent="0.25">
      <c r="A100" s="2"/>
      <c r="B100" s="47" t="s">
        <v>207</v>
      </c>
      <c r="C100" s="51" t="s">
        <v>208</v>
      </c>
      <c r="D100" s="17" t="s">
        <v>209</v>
      </c>
      <c r="E100" s="18">
        <f t="shared" si="0"/>
        <v>0</v>
      </c>
      <c r="F100" s="48"/>
      <c r="G100" s="48"/>
      <c r="H100" s="48"/>
      <c r="I100" s="48"/>
      <c r="J100" s="8"/>
      <c r="K100" s="19"/>
      <c r="L100" s="1"/>
    </row>
    <row r="101" spans="1:12" x14ac:dyDescent="0.25">
      <c r="A101" s="2"/>
      <c r="B101" s="47" t="s">
        <v>210</v>
      </c>
      <c r="C101" s="51" t="s">
        <v>211</v>
      </c>
      <c r="D101" s="17" t="s">
        <v>212</v>
      </c>
      <c r="E101" s="18">
        <f t="shared" si="0"/>
        <v>0</v>
      </c>
      <c r="F101" s="48"/>
      <c r="G101" s="48"/>
      <c r="H101" s="48"/>
      <c r="I101" s="48"/>
      <c r="J101" s="8"/>
      <c r="K101" s="19"/>
      <c r="L101" s="1"/>
    </row>
    <row r="102" spans="1:12" ht="45" x14ac:dyDescent="0.25">
      <c r="A102" s="2"/>
      <c r="B102" s="47" t="s">
        <v>213</v>
      </c>
      <c r="C102" s="43" t="s">
        <v>214</v>
      </c>
      <c r="D102" s="17" t="s">
        <v>215</v>
      </c>
      <c r="E102" s="18">
        <f t="shared" si="0"/>
        <v>0</v>
      </c>
      <c r="F102" s="50">
        <f>F103+F104</f>
        <v>0</v>
      </c>
      <c r="G102" s="50">
        <f>G103+G104</f>
        <v>0</v>
      </c>
      <c r="H102" s="50">
        <f>H103+H104</f>
        <v>0</v>
      </c>
      <c r="I102" s="50">
        <f>I103+I104</f>
        <v>0</v>
      </c>
      <c r="J102" s="8"/>
      <c r="K102" s="19"/>
      <c r="L102" s="1"/>
    </row>
    <row r="103" spans="1:12" x14ac:dyDescent="0.25">
      <c r="A103" s="2"/>
      <c r="B103" s="47" t="s">
        <v>216</v>
      </c>
      <c r="C103" s="51" t="s">
        <v>208</v>
      </c>
      <c r="D103" s="17" t="s">
        <v>217</v>
      </c>
      <c r="E103" s="18">
        <f t="shared" si="0"/>
        <v>0</v>
      </c>
      <c r="F103" s="48"/>
      <c r="G103" s="48"/>
      <c r="H103" s="48"/>
      <c r="I103" s="48"/>
      <c r="J103" s="8"/>
      <c r="K103" s="19"/>
      <c r="L103" s="1"/>
    </row>
    <row r="104" spans="1:12" x14ac:dyDescent="0.25">
      <c r="A104" s="2"/>
      <c r="B104" s="47" t="s">
        <v>218</v>
      </c>
      <c r="C104" s="51" t="s">
        <v>211</v>
      </c>
      <c r="D104" s="17" t="s">
        <v>219</v>
      </c>
      <c r="E104" s="18">
        <f t="shared" si="0"/>
        <v>0</v>
      </c>
      <c r="F104" s="48"/>
      <c r="G104" s="48"/>
      <c r="H104" s="48"/>
      <c r="I104" s="48"/>
      <c r="J104" s="8"/>
      <c r="K104" s="19"/>
      <c r="L104" s="1"/>
    </row>
    <row r="105" spans="1:12" ht="22.5" x14ac:dyDescent="0.25">
      <c r="A105" s="2"/>
      <c r="B105" s="47" t="s">
        <v>220</v>
      </c>
      <c r="C105" s="43" t="s">
        <v>221</v>
      </c>
      <c r="D105" s="17" t="s">
        <v>222</v>
      </c>
      <c r="E105" s="18">
        <f t="shared" si="0"/>
        <v>0</v>
      </c>
      <c r="F105" s="50">
        <f>F106+F107</f>
        <v>0</v>
      </c>
      <c r="G105" s="50">
        <f>G106+G107</f>
        <v>0</v>
      </c>
      <c r="H105" s="50">
        <f>H106+H107</f>
        <v>0</v>
      </c>
      <c r="I105" s="50">
        <f>I106+I107</f>
        <v>0</v>
      </c>
      <c r="J105" s="8"/>
      <c r="K105" s="19"/>
      <c r="L105" s="1"/>
    </row>
    <row r="106" spans="1:12" x14ac:dyDescent="0.25">
      <c r="A106" s="2"/>
      <c r="B106" s="47" t="s">
        <v>223</v>
      </c>
      <c r="C106" s="51" t="s">
        <v>208</v>
      </c>
      <c r="D106" s="17" t="s">
        <v>224</v>
      </c>
      <c r="E106" s="18">
        <f t="shared" si="0"/>
        <v>0</v>
      </c>
      <c r="F106" s="48"/>
      <c r="G106" s="48"/>
      <c r="H106" s="48"/>
      <c r="I106" s="48"/>
      <c r="J106" s="8"/>
      <c r="K106" s="19"/>
      <c r="L106" s="1"/>
    </row>
    <row r="107" spans="1:12" x14ac:dyDescent="0.25">
      <c r="A107" s="2"/>
      <c r="B107" s="47" t="s">
        <v>225</v>
      </c>
      <c r="C107" s="51" t="s">
        <v>211</v>
      </c>
      <c r="D107" s="17" t="s">
        <v>226</v>
      </c>
      <c r="E107" s="18">
        <f t="shared" si="0"/>
        <v>0</v>
      </c>
      <c r="F107" s="48"/>
      <c r="G107" s="48"/>
      <c r="H107" s="48"/>
      <c r="I107" s="48"/>
      <c r="J107" s="8"/>
      <c r="K107" s="19"/>
      <c r="L107" s="1"/>
    </row>
    <row r="108" spans="1:12" ht="22.5" x14ac:dyDescent="0.25">
      <c r="A108" s="2"/>
      <c r="B108" s="47" t="s">
        <v>227</v>
      </c>
      <c r="C108" s="43" t="s">
        <v>228</v>
      </c>
      <c r="D108" s="17" t="s">
        <v>229</v>
      </c>
      <c r="E108" s="18">
        <f t="shared" si="0"/>
        <v>0</v>
      </c>
      <c r="F108" s="48"/>
      <c r="G108" s="48"/>
      <c r="H108" s="48"/>
      <c r="I108" s="48"/>
      <c r="J108" s="8"/>
      <c r="K108" s="19"/>
      <c r="L108" s="1"/>
    </row>
    <row r="109" spans="1:12" x14ac:dyDescent="0.25">
      <c r="A109" s="2"/>
      <c r="B109" s="47" t="s">
        <v>230</v>
      </c>
      <c r="C109" s="43" t="s">
        <v>231</v>
      </c>
      <c r="D109" s="17" t="s">
        <v>232</v>
      </c>
      <c r="E109" s="18">
        <f t="shared" si="0"/>
        <v>0</v>
      </c>
      <c r="F109" s="48"/>
      <c r="G109" s="48"/>
      <c r="H109" s="48"/>
      <c r="I109" s="48"/>
      <c r="J109" s="8"/>
      <c r="K109" s="19"/>
      <c r="L109" s="1"/>
    </row>
    <row r="110" spans="1:12" ht="45" x14ac:dyDescent="0.25">
      <c r="A110" s="2"/>
      <c r="B110" s="47" t="s">
        <v>233</v>
      </c>
      <c r="C110" s="43" t="s">
        <v>234</v>
      </c>
      <c r="D110" s="17" t="s">
        <v>235</v>
      </c>
      <c r="E110" s="18">
        <f t="shared" si="0"/>
        <v>0</v>
      </c>
      <c r="F110" s="48"/>
      <c r="G110" s="48"/>
      <c r="H110" s="48"/>
      <c r="I110" s="48"/>
      <c r="J110" s="8"/>
      <c r="K110" s="19"/>
      <c r="L110" s="1"/>
    </row>
    <row r="111" spans="1:12" ht="33.75" x14ac:dyDescent="0.25">
      <c r="A111" s="2"/>
      <c r="B111" s="47" t="s">
        <v>236</v>
      </c>
      <c r="C111" s="43" t="s">
        <v>237</v>
      </c>
      <c r="D111" s="17" t="s">
        <v>238</v>
      </c>
      <c r="E111" s="18">
        <f t="shared" si="0"/>
        <v>0</v>
      </c>
      <c r="F111" s="48"/>
      <c r="G111" s="48"/>
      <c r="H111" s="48"/>
      <c r="I111" s="48"/>
      <c r="J111" s="8"/>
      <c r="K111" s="19"/>
      <c r="L111" s="1"/>
    </row>
    <row r="112" spans="1:12" x14ac:dyDescent="0.25">
      <c r="A112" s="2"/>
      <c r="B112" s="47" t="s">
        <v>239</v>
      </c>
      <c r="C112" s="20" t="s">
        <v>240</v>
      </c>
      <c r="D112" s="17" t="s">
        <v>241</v>
      </c>
      <c r="E112" s="18">
        <f t="shared" si="0"/>
        <v>0</v>
      </c>
      <c r="F112" s="49">
        <f>F115</f>
        <v>0</v>
      </c>
      <c r="G112" s="49">
        <f>G115</f>
        <v>0</v>
      </c>
      <c r="H112" s="49">
        <f>H115</f>
        <v>0</v>
      </c>
      <c r="I112" s="49">
        <f>I115</f>
        <v>0</v>
      </c>
      <c r="J112" s="8"/>
      <c r="K112" s="19"/>
      <c r="L112" s="1"/>
    </row>
    <row r="113" spans="1:12" x14ac:dyDescent="0.25">
      <c r="A113" s="2"/>
      <c r="B113" s="47" t="s">
        <v>242</v>
      </c>
      <c r="C113" s="42" t="s">
        <v>184</v>
      </c>
      <c r="D113" s="17" t="s">
        <v>243</v>
      </c>
      <c r="E113" s="18">
        <f t="shared" si="0"/>
        <v>0</v>
      </c>
      <c r="F113" s="48"/>
      <c r="G113" s="48"/>
      <c r="H113" s="48"/>
      <c r="I113" s="48"/>
      <c r="J113" s="8"/>
      <c r="K113" s="19"/>
      <c r="L113" s="1"/>
    </row>
    <row r="114" spans="1:12" x14ac:dyDescent="0.25">
      <c r="A114" s="2"/>
      <c r="B114" s="47" t="s">
        <v>244</v>
      </c>
      <c r="C114" s="43" t="s">
        <v>245</v>
      </c>
      <c r="D114" s="17" t="s">
        <v>246</v>
      </c>
      <c r="E114" s="18">
        <f t="shared" si="0"/>
        <v>0</v>
      </c>
      <c r="F114" s="48"/>
      <c r="G114" s="48"/>
      <c r="H114" s="48"/>
      <c r="I114" s="48"/>
      <c r="J114" s="8"/>
      <c r="K114" s="19"/>
      <c r="L114" s="1"/>
    </row>
    <row r="115" spans="1:12" x14ac:dyDescent="0.25">
      <c r="A115" s="2"/>
      <c r="B115" s="47" t="s">
        <v>247</v>
      </c>
      <c r="C115" s="42" t="s">
        <v>190</v>
      </c>
      <c r="D115" s="17" t="s">
        <v>248</v>
      </c>
      <c r="E115" s="18">
        <f t="shared" si="0"/>
        <v>0</v>
      </c>
      <c r="F115" s="48"/>
      <c r="G115" s="48"/>
      <c r="H115" s="48"/>
      <c r="I115" s="48"/>
      <c r="J115" s="8"/>
      <c r="K115" s="19"/>
      <c r="L115" s="1"/>
    </row>
    <row r="116" spans="1:12" ht="22.5" x14ac:dyDescent="0.25">
      <c r="A116" s="2"/>
      <c r="B116" s="47" t="s">
        <v>249</v>
      </c>
      <c r="C116" s="40" t="s">
        <v>250</v>
      </c>
      <c r="D116" s="17" t="s">
        <v>251</v>
      </c>
      <c r="E116" s="18">
        <f t="shared" si="0"/>
        <v>5996.1419999999998</v>
      </c>
      <c r="F116" s="49">
        <f>SUM(F117:F118)</f>
        <v>13.744999999999999</v>
      </c>
      <c r="G116" s="49">
        <f>SUM(G117:G118)</f>
        <v>4343.951</v>
      </c>
      <c r="H116" s="49">
        <f>SUM(H117:H118)</f>
        <v>1018.066</v>
      </c>
      <c r="I116" s="49">
        <f>SUM(I117:I118)</f>
        <v>620.38</v>
      </c>
      <c r="J116" s="8"/>
      <c r="K116" s="19"/>
      <c r="L116" s="1"/>
    </row>
    <row r="117" spans="1:12" x14ac:dyDescent="0.25">
      <c r="A117" s="2"/>
      <c r="B117" s="47" t="s">
        <v>252</v>
      </c>
      <c r="C117" s="20" t="s">
        <v>178</v>
      </c>
      <c r="D117" s="17" t="s">
        <v>253</v>
      </c>
      <c r="E117" s="18">
        <f t="shared" si="0"/>
        <v>0</v>
      </c>
      <c r="F117" s="48"/>
      <c r="G117" s="48"/>
      <c r="H117" s="48"/>
      <c r="I117" s="48"/>
      <c r="J117" s="8"/>
      <c r="K117" s="19"/>
      <c r="L117" s="1"/>
    </row>
    <row r="118" spans="1:12" x14ac:dyDescent="0.25">
      <c r="A118" s="2"/>
      <c r="B118" s="47" t="s">
        <v>254</v>
      </c>
      <c r="C118" s="20" t="s">
        <v>181</v>
      </c>
      <c r="D118" s="17" t="s">
        <v>255</v>
      </c>
      <c r="E118" s="18">
        <f t="shared" si="0"/>
        <v>5996.1419999999998</v>
      </c>
      <c r="F118" s="49">
        <f>F120</f>
        <v>13.744999999999999</v>
      </c>
      <c r="G118" s="49">
        <f>G120</f>
        <v>4343.951</v>
      </c>
      <c r="H118" s="49">
        <f>H120</f>
        <v>1018.066</v>
      </c>
      <c r="I118" s="49">
        <f>I120</f>
        <v>620.38</v>
      </c>
      <c r="J118" s="8"/>
      <c r="K118" s="19"/>
      <c r="L118" s="1"/>
    </row>
    <row r="119" spans="1:12" x14ac:dyDescent="0.25">
      <c r="A119" s="2"/>
      <c r="B119" s="47" t="s">
        <v>256</v>
      </c>
      <c r="C119" s="42" t="s">
        <v>257</v>
      </c>
      <c r="D119" s="17" t="s">
        <v>258</v>
      </c>
      <c r="E119" s="18">
        <f t="shared" si="0"/>
        <v>25.006</v>
      </c>
      <c r="F119" s="48"/>
      <c r="G119" s="48">
        <f>G86</f>
        <v>25.006</v>
      </c>
      <c r="H119" s="48"/>
      <c r="I119" s="48"/>
      <c r="J119" s="8"/>
      <c r="K119" s="19"/>
      <c r="L119" s="1"/>
    </row>
    <row r="120" spans="1:12" x14ac:dyDescent="0.25">
      <c r="A120" s="2"/>
      <c r="B120" s="47" t="s">
        <v>259</v>
      </c>
      <c r="C120" s="42" t="s">
        <v>190</v>
      </c>
      <c r="D120" s="17" t="s">
        <v>260</v>
      </c>
      <c r="E120" s="18">
        <f t="shared" si="0"/>
        <v>5996.1419999999998</v>
      </c>
      <c r="F120" s="48">
        <f>F41</f>
        <v>13.744999999999999</v>
      </c>
      <c r="G120" s="48">
        <f>G27-F41+E41</f>
        <v>4343.951</v>
      </c>
      <c r="H120" s="48">
        <f>H27</f>
        <v>1018.066</v>
      </c>
      <c r="I120" s="48">
        <f>I27</f>
        <v>620.38</v>
      </c>
      <c r="J120" s="8"/>
      <c r="K120" s="19"/>
      <c r="L120" s="1"/>
    </row>
    <row r="121" spans="1:12" x14ac:dyDescent="0.25">
      <c r="A121" s="2"/>
      <c r="B121" s="111" t="s">
        <v>261</v>
      </c>
      <c r="C121" s="112"/>
      <c r="D121" s="112"/>
      <c r="E121" s="112"/>
      <c r="F121" s="112"/>
      <c r="G121" s="112"/>
      <c r="H121" s="112"/>
      <c r="I121" s="113"/>
      <c r="J121" s="8"/>
      <c r="K121" s="19"/>
      <c r="L121" s="1"/>
    </row>
    <row r="122" spans="1:12" ht="22.5" x14ac:dyDescent="0.25">
      <c r="A122" s="2"/>
      <c r="B122" s="47" t="s">
        <v>262</v>
      </c>
      <c r="C122" s="16" t="s">
        <v>263</v>
      </c>
      <c r="D122" s="17" t="s">
        <v>264</v>
      </c>
      <c r="E122" s="18">
        <f t="shared" si="0"/>
        <v>0</v>
      </c>
      <c r="F122" s="49">
        <f>SUM( F123:F124)</f>
        <v>0</v>
      </c>
      <c r="G122" s="49">
        <f>SUM( G123:G124)</f>
        <v>0</v>
      </c>
      <c r="H122" s="49">
        <f>SUM( H123:H124)</f>
        <v>0</v>
      </c>
      <c r="I122" s="49">
        <f>SUM( I123:I124)</f>
        <v>0</v>
      </c>
      <c r="J122" s="8"/>
      <c r="K122" s="19"/>
      <c r="L122" s="1"/>
    </row>
    <row r="123" spans="1:12" x14ac:dyDescent="0.25">
      <c r="A123" s="2"/>
      <c r="B123" s="47" t="s">
        <v>265</v>
      </c>
      <c r="C123" s="20" t="s">
        <v>178</v>
      </c>
      <c r="D123" s="17" t="s">
        <v>266</v>
      </c>
      <c r="E123" s="18">
        <f t="shared" si="0"/>
        <v>0</v>
      </c>
      <c r="F123" s="48"/>
      <c r="G123" s="48"/>
      <c r="H123" s="48"/>
      <c r="I123" s="48"/>
      <c r="J123" s="8"/>
      <c r="K123" s="19"/>
      <c r="L123" s="1"/>
    </row>
    <row r="124" spans="1:12" x14ac:dyDescent="0.25">
      <c r="A124" s="2"/>
      <c r="B124" s="47" t="s">
        <v>267</v>
      </c>
      <c r="C124" s="20" t="s">
        <v>181</v>
      </c>
      <c r="D124" s="17" t="s">
        <v>268</v>
      </c>
      <c r="E124" s="18">
        <f t="shared" si="0"/>
        <v>0</v>
      </c>
      <c r="F124" s="49">
        <f>F125+F127</f>
        <v>0</v>
      </c>
      <c r="G124" s="49">
        <f>G125+G127</f>
        <v>0</v>
      </c>
      <c r="H124" s="49">
        <f>H125+H127</f>
        <v>0</v>
      </c>
      <c r="I124" s="49">
        <f>I125+I127</f>
        <v>0</v>
      </c>
      <c r="J124" s="8"/>
      <c r="K124" s="19"/>
      <c r="L124" s="1"/>
    </row>
    <row r="125" spans="1:12" x14ac:dyDescent="0.25">
      <c r="A125" s="2"/>
      <c r="B125" s="47" t="s">
        <v>269</v>
      </c>
      <c r="C125" s="42" t="s">
        <v>270</v>
      </c>
      <c r="D125" s="17" t="s">
        <v>271</v>
      </c>
      <c r="E125" s="18">
        <f t="shared" si="0"/>
        <v>0</v>
      </c>
      <c r="F125" s="48"/>
      <c r="G125" s="48"/>
      <c r="H125" s="48"/>
      <c r="I125" s="48"/>
      <c r="J125" s="8"/>
      <c r="K125" s="19"/>
      <c r="L125" s="1"/>
    </row>
    <row r="126" spans="1:12" x14ac:dyDescent="0.25">
      <c r="A126" s="2"/>
      <c r="B126" s="47" t="s">
        <v>272</v>
      </c>
      <c r="C126" s="43" t="s">
        <v>273</v>
      </c>
      <c r="D126" s="17" t="s">
        <v>274</v>
      </c>
      <c r="E126" s="18">
        <f t="shared" si="0"/>
        <v>0</v>
      </c>
      <c r="F126" s="48"/>
      <c r="G126" s="48"/>
      <c r="H126" s="48"/>
      <c r="I126" s="48"/>
      <c r="J126" s="8"/>
      <c r="K126" s="19"/>
      <c r="L126" s="1"/>
    </row>
    <row r="127" spans="1:12" x14ac:dyDescent="0.25">
      <c r="A127" s="2"/>
      <c r="B127" s="47" t="s">
        <v>275</v>
      </c>
      <c r="C127" s="42" t="s">
        <v>276</v>
      </c>
      <c r="D127" s="17" t="s">
        <v>277</v>
      </c>
      <c r="E127" s="18">
        <f t="shared" si="0"/>
        <v>0</v>
      </c>
      <c r="F127" s="48"/>
      <c r="G127" s="48"/>
      <c r="H127" s="48"/>
      <c r="I127" s="48"/>
      <c r="J127" s="8"/>
      <c r="K127" s="19"/>
      <c r="L127" s="1"/>
    </row>
    <row r="128" spans="1:12" x14ac:dyDescent="0.25">
      <c r="A128" s="2"/>
      <c r="B128" s="47" t="s">
        <v>19</v>
      </c>
      <c r="C128" s="16" t="s">
        <v>278</v>
      </c>
      <c r="D128" s="17" t="s">
        <v>279</v>
      </c>
      <c r="E128" s="18">
        <f t="shared" si="0"/>
        <v>0</v>
      </c>
      <c r="F128" s="50">
        <f>SUM( F129+F134)</f>
        <v>0</v>
      </c>
      <c r="G128" s="50">
        <f>SUM( G129+G134)</f>
        <v>0</v>
      </c>
      <c r="H128" s="50">
        <f>SUM( H129+H134)</f>
        <v>0</v>
      </c>
      <c r="I128" s="50">
        <f>SUM( I129+I134)</f>
        <v>0</v>
      </c>
      <c r="J128" s="52"/>
      <c r="K128" s="19"/>
      <c r="L128" s="1"/>
    </row>
    <row r="129" spans="1:12" x14ac:dyDescent="0.25">
      <c r="A129" s="2"/>
      <c r="B129" s="47" t="s">
        <v>280</v>
      </c>
      <c r="C129" s="20" t="s">
        <v>178</v>
      </c>
      <c r="D129" s="17" t="s">
        <v>281</v>
      </c>
      <c r="E129" s="18">
        <f t="shared" ref="E129:E142" si="1">SUM(F129:I129)</f>
        <v>0</v>
      </c>
      <c r="F129" s="50">
        <f>SUM( F130:F131)</f>
        <v>0</v>
      </c>
      <c r="G129" s="50">
        <f>SUM( G130:G131)</f>
        <v>0</v>
      </c>
      <c r="H129" s="50">
        <f>SUM( H130:H131)</f>
        <v>0</v>
      </c>
      <c r="I129" s="50">
        <f>SUM( I130:I131)</f>
        <v>0</v>
      </c>
      <c r="J129" s="52"/>
      <c r="K129" s="19"/>
      <c r="L129" s="1"/>
    </row>
    <row r="130" spans="1:12" x14ac:dyDescent="0.25">
      <c r="A130" s="2"/>
      <c r="B130" s="47" t="s">
        <v>282</v>
      </c>
      <c r="C130" s="42" t="s">
        <v>199</v>
      </c>
      <c r="D130" s="17" t="s">
        <v>283</v>
      </c>
      <c r="E130" s="18">
        <f t="shared" si="1"/>
        <v>0</v>
      </c>
      <c r="F130" s="53"/>
      <c r="G130" s="53"/>
      <c r="H130" s="53"/>
      <c r="I130" s="53"/>
      <c r="J130" s="52"/>
      <c r="K130" s="19"/>
      <c r="L130" s="1"/>
    </row>
    <row r="131" spans="1:12" x14ac:dyDescent="0.25">
      <c r="A131" s="2"/>
      <c r="B131" s="47" t="s">
        <v>284</v>
      </c>
      <c r="C131" s="42" t="s">
        <v>202</v>
      </c>
      <c r="D131" s="17" t="s">
        <v>285</v>
      </c>
      <c r="E131" s="18">
        <f t="shared" si="1"/>
        <v>0</v>
      </c>
      <c r="F131" s="50">
        <f>F132+F133</f>
        <v>0</v>
      </c>
      <c r="G131" s="50">
        <f>G132+G133</f>
        <v>0</v>
      </c>
      <c r="H131" s="50">
        <f>H132+H133</f>
        <v>0</v>
      </c>
      <c r="I131" s="50">
        <f>I132+I133</f>
        <v>0</v>
      </c>
      <c r="J131" s="52"/>
      <c r="K131" s="19"/>
      <c r="L131" s="1"/>
    </row>
    <row r="132" spans="1:12" x14ac:dyDescent="0.25">
      <c r="A132" s="2"/>
      <c r="B132" s="47" t="s">
        <v>286</v>
      </c>
      <c r="C132" s="43" t="s">
        <v>208</v>
      </c>
      <c r="D132" s="17" t="s">
        <v>287</v>
      </c>
      <c r="E132" s="18">
        <f t="shared" si="1"/>
        <v>0</v>
      </c>
      <c r="F132" s="53"/>
      <c r="G132" s="53"/>
      <c r="H132" s="53"/>
      <c r="I132" s="53"/>
      <c r="J132" s="52"/>
      <c r="K132" s="19"/>
      <c r="L132" s="1"/>
    </row>
    <row r="133" spans="1:12" x14ac:dyDescent="0.25">
      <c r="A133" s="2"/>
      <c r="B133" s="47" t="s">
        <v>288</v>
      </c>
      <c r="C133" s="43" t="s">
        <v>289</v>
      </c>
      <c r="D133" s="17" t="s">
        <v>290</v>
      </c>
      <c r="E133" s="18">
        <f t="shared" si="1"/>
        <v>0</v>
      </c>
      <c r="F133" s="53"/>
      <c r="G133" s="53"/>
      <c r="H133" s="53"/>
      <c r="I133" s="53"/>
      <c r="J133" s="52"/>
      <c r="K133" s="19"/>
      <c r="L133" s="1"/>
    </row>
    <row r="134" spans="1:12" x14ac:dyDescent="0.25">
      <c r="A134" s="2"/>
      <c r="B134" s="47" t="s">
        <v>291</v>
      </c>
      <c r="C134" s="20" t="s">
        <v>240</v>
      </c>
      <c r="D134" s="17" t="s">
        <v>292</v>
      </c>
      <c r="E134" s="18">
        <f t="shared" si="1"/>
        <v>0</v>
      </c>
      <c r="F134" s="50">
        <f>F135+F137</f>
        <v>0</v>
      </c>
      <c r="G134" s="50">
        <f>G135+G137</f>
        <v>0</v>
      </c>
      <c r="H134" s="50">
        <f>H135+H137</f>
        <v>0</v>
      </c>
      <c r="I134" s="50">
        <f>I135+I137</f>
        <v>0</v>
      </c>
      <c r="J134" s="52"/>
      <c r="K134" s="19"/>
      <c r="L134" s="1"/>
    </row>
    <row r="135" spans="1:12" x14ac:dyDescent="0.25">
      <c r="A135" s="2"/>
      <c r="B135" s="47" t="s">
        <v>293</v>
      </c>
      <c r="C135" s="42" t="s">
        <v>270</v>
      </c>
      <c r="D135" s="17" t="s">
        <v>294</v>
      </c>
      <c r="E135" s="18">
        <f t="shared" si="1"/>
        <v>0</v>
      </c>
      <c r="F135" s="48"/>
      <c r="G135" s="48"/>
      <c r="H135" s="48"/>
      <c r="I135" s="48"/>
      <c r="J135" s="52"/>
      <c r="K135" s="19"/>
      <c r="L135" s="1"/>
    </row>
    <row r="136" spans="1:12" x14ac:dyDescent="0.25">
      <c r="A136" s="2"/>
      <c r="B136" s="47" t="s">
        <v>295</v>
      </c>
      <c r="C136" s="43" t="s">
        <v>273</v>
      </c>
      <c r="D136" s="17" t="s">
        <v>296</v>
      </c>
      <c r="E136" s="18">
        <f t="shared" si="1"/>
        <v>0</v>
      </c>
      <c r="F136" s="48"/>
      <c r="G136" s="48"/>
      <c r="H136" s="48"/>
      <c r="I136" s="48"/>
      <c r="J136" s="52"/>
      <c r="K136" s="19"/>
      <c r="L136" s="1"/>
    </row>
    <row r="137" spans="1:12" x14ac:dyDescent="0.25">
      <c r="A137" s="2"/>
      <c r="B137" s="47" t="s">
        <v>297</v>
      </c>
      <c r="C137" s="42" t="s">
        <v>276</v>
      </c>
      <c r="D137" s="17" t="s">
        <v>298</v>
      </c>
      <c r="E137" s="18">
        <f t="shared" si="1"/>
        <v>0</v>
      </c>
      <c r="F137" s="54"/>
      <c r="G137" s="54"/>
      <c r="H137" s="54"/>
      <c r="I137" s="54"/>
      <c r="J137" s="52"/>
      <c r="K137" s="19"/>
      <c r="L137" s="1"/>
    </row>
    <row r="138" spans="1:12" ht="22.5" x14ac:dyDescent="0.25">
      <c r="A138" s="2"/>
      <c r="B138" s="47" t="s">
        <v>299</v>
      </c>
      <c r="C138" s="16" t="s">
        <v>300</v>
      </c>
      <c r="D138" s="17" t="s">
        <v>301</v>
      </c>
      <c r="E138" s="18">
        <f t="shared" si="1"/>
        <v>3630.4023324719997</v>
      </c>
      <c r="F138" s="55">
        <f>SUM( F139:F140)</f>
        <v>1.4663166000000001</v>
      </c>
      <c r="G138" s="55">
        <f>SUM( G139:G140)</f>
        <v>3454.1465965919997</v>
      </c>
      <c r="H138" s="55">
        <f>SUM( H139:H140)</f>
        <v>108.60728088000002</v>
      </c>
      <c r="I138" s="55">
        <f>SUM( I139:I140)</f>
        <v>66.182138399999999</v>
      </c>
      <c r="J138" s="52"/>
      <c r="K138" s="19"/>
      <c r="L138" s="1"/>
    </row>
    <row r="139" spans="1:12" x14ac:dyDescent="0.25">
      <c r="A139" s="2"/>
      <c r="B139" s="47" t="s">
        <v>302</v>
      </c>
      <c r="C139" s="20" t="s">
        <v>178</v>
      </c>
      <c r="D139" s="17" t="s">
        <v>303</v>
      </c>
      <c r="E139" s="18">
        <f t="shared" si="1"/>
        <v>0</v>
      </c>
      <c r="F139" s="54"/>
      <c r="G139" s="54"/>
      <c r="H139" s="54"/>
      <c r="I139" s="54"/>
      <c r="J139" s="52"/>
      <c r="K139" s="19"/>
      <c r="L139" s="1"/>
    </row>
    <row r="140" spans="1:12" x14ac:dyDescent="0.25">
      <c r="A140" s="2"/>
      <c r="B140" s="47" t="s">
        <v>304</v>
      </c>
      <c r="C140" s="20" t="s">
        <v>181</v>
      </c>
      <c r="D140" s="17" t="s">
        <v>305</v>
      </c>
      <c r="E140" s="18">
        <f t="shared" si="1"/>
        <v>3630.4023324719997</v>
      </c>
      <c r="F140" s="55">
        <f>F141+F142</f>
        <v>1.4663166000000001</v>
      </c>
      <c r="G140" s="55">
        <f>G141+G142</f>
        <v>3454.1465965919997</v>
      </c>
      <c r="H140" s="55">
        <f>H141+H142</f>
        <v>108.60728088000002</v>
      </c>
      <c r="I140" s="55">
        <f>I141+I142</f>
        <v>66.182138399999999</v>
      </c>
      <c r="J140" s="52"/>
      <c r="K140" s="19"/>
      <c r="L140" s="1"/>
    </row>
    <row r="141" spans="1:12" x14ac:dyDescent="0.25">
      <c r="A141" s="2"/>
      <c r="B141" s="47" t="s">
        <v>306</v>
      </c>
      <c r="C141" s="42" t="s">
        <v>307</v>
      </c>
      <c r="D141" s="17" t="s">
        <v>308</v>
      </c>
      <c r="E141" s="18">
        <f t="shared" si="1"/>
        <v>2990.7339039119997</v>
      </c>
      <c r="F141" s="54"/>
      <c r="G141" s="54">
        <f>G119*99667.21/1000*1.2</f>
        <v>2990.7339039119997</v>
      </c>
      <c r="H141" s="54"/>
      <c r="I141" s="54"/>
      <c r="J141" s="52"/>
      <c r="K141" s="19"/>
      <c r="L141" s="1"/>
    </row>
    <row r="142" spans="1:12" x14ac:dyDescent="0.25">
      <c r="A142" s="2"/>
      <c r="B142" s="47" t="s">
        <v>309</v>
      </c>
      <c r="C142" s="42" t="s">
        <v>276</v>
      </c>
      <c r="D142" s="17" t="s">
        <v>310</v>
      </c>
      <c r="E142" s="18">
        <f t="shared" si="1"/>
        <v>639.66842855999994</v>
      </c>
      <c r="F142" s="54">
        <f>F120*88.9/1000*1.2</f>
        <v>1.4663166000000001</v>
      </c>
      <c r="G142" s="54">
        <f>G120*88.9/1000*1.2</f>
        <v>463.41269267999996</v>
      </c>
      <c r="H142" s="54">
        <f>H120*88.9/1000*1.2</f>
        <v>108.60728088000002</v>
      </c>
      <c r="I142" s="54">
        <f>I120*88.9/1000*1.2</f>
        <v>66.182138399999999</v>
      </c>
      <c r="J142" s="52"/>
      <c r="K142" s="19"/>
      <c r="L142" s="1"/>
    </row>
    <row r="143" spans="1:12" x14ac:dyDescent="0.25">
      <c r="A143" s="1"/>
      <c r="B143" s="6"/>
      <c r="C143" s="56"/>
      <c r="D143" s="56"/>
      <c r="E143" s="56"/>
      <c r="F143" s="56"/>
      <c r="G143" s="56"/>
      <c r="H143" s="56"/>
      <c r="I143" s="57"/>
      <c r="J143" s="57"/>
      <c r="K143" s="57"/>
      <c r="L143" s="57"/>
    </row>
    <row r="144" spans="1:12" x14ac:dyDescent="0.25">
      <c r="A144" s="1"/>
      <c r="B144" s="1"/>
      <c r="C144" s="19" t="s">
        <v>311</v>
      </c>
      <c r="D144" s="103" t="s">
        <v>322</v>
      </c>
      <c r="E144" s="103"/>
      <c r="F144" s="58"/>
      <c r="G144" s="103" t="s">
        <v>323</v>
      </c>
      <c r="H144" s="103"/>
      <c r="I144" s="103"/>
      <c r="J144" s="58"/>
      <c r="K144" s="59"/>
      <c r="L144" s="59"/>
    </row>
    <row r="145" spans="1:12" x14ac:dyDescent="0.25">
      <c r="A145" s="1"/>
      <c r="B145" s="1"/>
      <c r="C145" s="60" t="s">
        <v>312</v>
      </c>
      <c r="D145" s="102" t="s">
        <v>313</v>
      </c>
      <c r="E145" s="102"/>
      <c r="F145" s="61"/>
      <c r="G145" s="102" t="s">
        <v>314</v>
      </c>
      <c r="H145" s="102"/>
      <c r="I145" s="102"/>
      <c r="J145" s="61"/>
      <c r="K145" s="102" t="s">
        <v>315</v>
      </c>
      <c r="L145" s="102"/>
    </row>
    <row r="146" spans="1:12" x14ac:dyDescent="0.25">
      <c r="A146" s="1"/>
      <c r="B146" s="1"/>
      <c r="C146" s="60" t="s">
        <v>316</v>
      </c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1:12" x14ac:dyDescent="0.25">
      <c r="A147" s="1"/>
      <c r="B147" s="1"/>
      <c r="C147" s="60" t="s">
        <v>317</v>
      </c>
      <c r="D147" s="103" t="s">
        <v>324</v>
      </c>
      <c r="E147" s="103"/>
      <c r="F147" s="103"/>
      <c r="G147" s="19"/>
      <c r="H147" s="60" t="s">
        <v>318</v>
      </c>
      <c r="I147" s="62"/>
      <c r="J147" s="19"/>
      <c r="K147" s="19"/>
      <c r="L147" s="19"/>
    </row>
    <row r="148" spans="1:12" x14ac:dyDescent="0.25">
      <c r="A148" s="1"/>
      <c r="B148" s="1"/>
      <c r="C148" s="19" t="s">
        <v>319</v>
      </c>
      <c r="D148" s="104" t="s">
        <v>320</v>
      </c>
      <c r="E148" s="104"/>
      <c r="F148" s="104"/>
      <c r="G148" s="19"/>
      <c r="H148" s="63" t="s">
        <v>321</v>
      </c>
      <c r="I148" s="63"/>
      <c r="J148" s="19"/>
      <c r="K148" s="19"/>
      <c r="L148" s="19"/>
    </row>
    <row r="149" spans="1:12" x14ac:dyDescent="0.25">
      <c r="A149" s="1"/>
      <c r="B149" s="1"/>
      <c r="C149" s="57"/>
      <c r="D149" s="57"/>
      <c r="E149" s="57"/>
      <c r="F149" s="57"/>
      <c r="G149" s="57"/>
      <c r="H149" s="57"/>
      <c r="I149" s="57"/>
      <c r="J149" s="57"/>
      <c r="K149" s="57"/>
      <c r="L149" s="57"/>
    </row>
    <row r="150" spans="1:12" x14ac:dyDescent="0.25">
      <c r="A150" s="1"/>
      <c r="B150" s="1"/>
      <c r="C150" s="57"/>
      <c r="D150" s="57"/>
      <c r="E150" s="57"/>
      <c r="F150" s="57"/>
      <c r="G150" s="57"/>
      <c r="H150" s="57"/>
      <c r="I150" s="57"/>
      <c r="J150" s="57"/>
      <c r="K150" s="57"/>
      <c r="L150" s="57"/>
    </row>
  </sheetData>
  <mergeCells count="18">
    <mergeCell ref="D144:E144"/>
    <mergeCell ref="G144:I144"/>
    <mergeCell ref="B2:C2"/>
    <mergeCell ref="B5:B6"/>
    <mergeCell ref="C5:C6"/>
    <mergeCell ref="D5:D6"/>
    <mergeCell ref="E5:E6"/>
    <mergeCell ref="F5:I5"/>
    <mergeCell ref="B8:I8"/>
    <mergeCell ref="B46:I46"/>
    <mergeCell ref="B84:I84"/>
    <mergeCell ref="B88:I88"/>
    <mergeCell ref="B121:I121"/>
    <mergeCell ref="D145:E145"/>
    <mergeCell ref="G145:I145"/>
    <mergeCell ref="D147:F147"/>
    <mergeCell ref="D148:F148"/>
    <mergeCell ref="K145:L145"/>
  </mergeCells>
  <dataValidations count="2">
    <dataValidation allowBlank="1" showInputMessage="1" promptTitle="Ввод" prompt="Для выбора организации необходимо два раза нажать левую клавишу мыши!" sqref="C19 C35 C57 C73"/>
    <dataValidation type="decimal" allowBlank="1" showErrorMessage="1" errorTitle="Ошибка" error="Допускается ввод только действительных чисел!" sqref="E17:I19 E85:I87 E9:I12 E47:I50 E75:I83 E89:I120 E55:I57 E37:I45 E21:I35 E122:I142 E52:I53 E14:I15 E59:I73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opLeftCell="A112" workbookViewId="0">
      <selection activeCell="F142" sqref="F142"/>
    </sheetView>
  </sheetViews>
  <sheetFormatPr defaultRowHeight="15" x14ac:dyDescent="0.25"/>
  <cols>
    <col min="2" max="2" width="11" bestFit="1" customWidth="1"/>
    <col min="3" max="3" width="48.42578125" customWidth="1"/>
    <col min="5" max="9" width="15.28515625" customWidth="1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3"/>
      <c r="J1" s="1"/>
      <c r="K1" s="1"/>
      <c r="L1" s="1"/>
    </row>
    <row r="2" spans="1:12" ht="47.25" customHeight="1" x14ac:dyDescent="0.25">
      <c r="A2" s="1"/>
      <c r="B2" s="105" t="s">
        <v>0</v>
      </c>
      <c r="C2" s="105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1"/>
      <c r="B3" s="5" t="str">
        <f>IF(org="","Не определено",org)</f>
        <v>ООО "КВЭП"</v>
      </c>
      <c r="C3" s="5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/>
      <c r="B4" s="6"/>
      <c r="C4" s="6"/>
      <c r="D4" s="2"/>
      <c r="E4" s="2"/>
      <c r="F4" s="2"/>
      <c r="G4" s="2"/>
      <c r="H4" s="1"/>
      <c r="I4" s="7" t="s">
        <v>1</v>
      </c>
      <c r="J4" s="1"/>
      <c r="K4" s="1"/>
      <c r="L4" s="1"/>
    </row>
    <row r="5" spans="1:12" x14ac:dyDescent="0.25">
      <c r="A5" s="2"/>
      <c r="B5" s="114" t="s">
        <v>2</v>
      </c>
      <c r="C5" s="116" t="s">
        <v>3</v>
      </c>
      <c r="D5" s="116" t="s">
        <v>4</v>
      </c>
      <c r="E5" s="116" t="s">
        <v>5</v>
      </c>
      <c r="F5" s="116" t="s">
        <v>6</v>
      </c>
      <c r="G5" s="116"/>
      <c r="H5" s="116"/>
      <c r="I5" s="118"/>
      <c r="J5" s="8"/>
      <c r="K5" s="1"/>
      <c r="L5" s="1"/>
    </row>
    <row r="6" spans="1:12" x14ac:dyDescent="0.25">
      <c r="A6" s="2"/>
      <c r="B6" s="115"/>
      <c r="C6" s="117"/>
      <c r="D6" s="117"/>
      <c r="E6" s="117"/>
      <c r="F6" s="9" t="s">
        <v>7</v>
      </c>
      <c r="G6" s="9" t="s">
        <v>8</v>
      </c>
      <c r="H6" s="9" t="s">
        <v>9</v>
      </c>
      <c r="I6" s="10" t="s">
        <v>10</v>
      </c>
      <c r="J6" s="8"/>
      <c r="K6" s="1"/>
      <c r="L6" s="1"/>
    </row>
    <row r="7" spans="1:12" x14ac:dyDescent="0.25">
      <c r="A7" s="1"/>
      <c r="B7" s="11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"/>
      <c r="K7" s="1"/>
      <c r="L7" s="1"/>
    </row>
    <row r="8" spans="1:12" x14ac:dyDescent="0.25">
      <c r="A8" s="12"/>
      <c r="B8" s="111" t="s">
        <v>11</v>
      </c>
      <c r="C8" s="112"/>
      <c r="D8" s="112"/>
      <c r="E8" s="112"/>
      <c r="F8" s="112"/>
      <c r="G8" s="112"/>
      <c r="H8" s="112"/>
      <c r="I8" s="113"/>
      <c r="J8" s="13"/>
      <c r="K8" s="14"/>
      <c r="L8" s="14"/>
    </row>
    <row r="9" spans="1:12" x14ac:dyDescent="0.25">
      <c r="A9" s="12"/>
      <c r="B9" s="15" t="s">
        <v>12</v>
      </c>
      <c r="C9" s="16" t="s">
        <v>13</v>
      </c>
      <c r="D9" s="17">
        <v>10</v>
      </c>
      <c r="E9" s="18">
        <f>SUM(F9:I9)</f>
        <v>5355.1670000000004</v>
      </c>
      <c r="F9" s="18">
        <f>F10+F11+F14+F17</f>
        <v>559.29100000000005</v>
      </c>
      <c r="G9" s="18">
        <f>G10+G11+G14+G17</f>
        <v>4631.0990000000002</v>
      </c>
      <c r="H9" s="18">
        <f>H10+H11+H14+H17</f>
        <v>164.77699999999999</v>
      </c>
      <c r="I9" s="18">
        <f>I10+I11+I14+I17</f>
        <v>0</v>
      </c>
      <c r="J9" s="13"/>
      <c r="K9" s="19"/>
      <c r="L9" s="14"/>
    </row>
    <row r="10" spans="1:12" x14ac:dyDescent="0.25">
      <c r="A10" s="12"/>
      <c r="B10" s="15" t="s">
        <v>14</v>
      </c>
      <c r="C10" s="20" t="s">
        <v>15</v>
      </c>
      <c r="D10" s="17">
        <v>20</v>
      </c>
      <c r="E10" s="18">
        <f t="shared" ref="E10:E128" si="0">SUM(F10:I10)</f>
        <v>0</v>
      </c>
      <c r="F10" s="21"/>
      <c r="G10" s="21"/>
      <c r="H10" s="21"/>
      <c r="I10" s="21"/>
      <c r="J10" s="13"/>
      <c r="K10" s="19"/>
      <c r="L10" s="14"/>
    </row>
    <row r="11" spans="1:12" x14ac:dyDescent="0.25">
      <c r="A11" s="12"/>
      <c r="B11" s="15" t="s">
        <v>16</v>
      </c>
      <c r="C11" s="20" t="s">
        <v>17</v>
      </c>
      <c r="D11" s="17">
        <v>30</v>
      </c>
      <c r="E11" s="18">
        <f t="shared" si="0"/>
        <v>0</v>
      </c>
      <c r="F11" s="18">
        <f>SUM(F12:F13)</f>
        <v>0</v>
      </c>
      <c r="G11" s="18">
        <f>SUM(G12:G13)</f>
        <v>0</v>
      </c>
      <c r="H11" s="18">
        <f>SUM(H12:H13)</f>
        <v>0</v>
      </c>
      <c r="I11" s="18">
        <f>SUM(I12:I13)</f>
        <v>0</v>
      </c>
      <c r="J11" s="13"/>
      <c r="K11" s="19"/>
      <c r="L11" s="14"/>
    </row>
    <row r="12" spans="1:12" x14ac:dyDescent="0.25">
      <c r="A12" s="12"/>
      <c r="B12" s="22" t="s">
        <v>18</v>
      </c>
      <c r="C12" s="23"/>
      <c r="D12" s="24" t="s">
        <v>19</v>
      </c>
      <c r="E12" s="25"/>
      <c r="F12" s="25"/>
      <c r="G12" s="25"/>
      <c r="H12" s="25"/>
      <c r="I12" s="25"/>
      <c r="J12" s="13"/>
      <c r="K12" s="19"/>
      <c r="L12" s="14"/>
    </row>
    <row r="13" spans="1:12" x14ac:dyDescent="0.25">
      <c r="A13" s="12"/>
      <c r="B13" s="26"/>
      <c r="C13" s="27" t="s">
        <v>20</v>
      </c>
      <c r="D13" s="28"/>
      <c r="E13" s="28"/>
      <c r="F13" s="28"/>
      <c r="G13" s="28"/>
      <c r="H13" s="28"/>
      <c r="I13" s="29"/>
      <c r="J13" s="13"/>
      <c r="K13" s="19"/>
      <c r="L13" s="14"/>
    </row>
    <row r="14" spans="1:12" x14ac:dyDescent="0.25">
      <c r="A14" s="12"/>
      <c r="B14" s="15" t="s">
        <v>21</v>
      </c>
      <c r="C14" s="20" t="s">
        <v>22</v>
      </c>
      <c r="D14" s="17" t="s">
        <v>23</v>
      </c>
      <c r="E14" s="18">
        <f t="shared" si="0"/>
        <v>0</v>
      </c>
      <c r="F14" s="18">
        <f>SUM(F15:F16)</f>
        <v>0</v>
      </c>
      <c r="G14" s="18">
        <f>SUM(G15:G16)</f>
        <v>0</v>
      </c>
      <c r="H14" s="18">
        <f>SUM(H15:H16)</f>
        <v>0</v>
      </c>
      <c r="I14" s="18">
        <f>SUM(I15:I16)</f>
        <v>0</v>
      </c>
      <c r="J14" s="13"/>
      <c r="K14" s="19"/>
      <c r="L14" s="14"/>
    </row>
    <row r="15" spans="1:12" x14ac:dyDescent="0.25">
      <c r="A15" s="12"/>
      <c r="B15" s="22" t="s">
        <v>24</v>
      </c>
      <c r="C15" s="23"/>
      <c r="D15" s="24" t="s">
        <v>23</v>
      </c>
      <c r="E15" s="25"/>
      <c r="F15" s="25"/>
      <c r="G15" s="25"/>
      <c r="H15" s="25"/>
      <c r="I15" s="25"/>
      <c r="J15" s="13"/>
      <c r="K15" s="19"/>
      <c r="L15" s="14"/>
    </row>
    <row r="16" spans="1:12" x14ac:dyDescent="0.25">
      <c r="A16" s="12"/>
      <c r="B16" s="26"/>
      <c r="C16" s="27" t="s">
        <v>20</v>
      </c>
      <c r="D16" s="28"/>
      <c r="E16" s="28"/>
      <c r="F16" s="28"/>
      <c r="G16" s="28"/>
      <c r="H16" s="28"/>
      <c r="I16" s="29"/>
      <c r="J16" s="13"/>
      <c r="K16" s="19"/>
      <c r="L16" s="14"/>
    </row>
    <row r="17" spans="1:12" x14ac:dyDescent="0.25">
      <c r="A17" s="12"/>
      <c r="B17" s="15" t="s">
        <v>25</v>
      </c>
      <c r="C17" s="20" t="s">
        <v>26</v>
      </c>
      <c r="D17" s="17" t="s">
        <v>27</v>
      </c>
      <c r="E17" s="18">
        <f t="shared" si="0"/>
        <v>5355.1670000000004</v>
      </c>
      <c r="F17" s="18">
        <f>SUM(F18:F20)</f>
        <v>559.29100000000005</v>
      </c>
      <c r="G17" s="18">
        <f>SUM(G18:G20)</f>
        <v>4631.0990000000002</v>
      </c>
      <c r="H17" s="18">
        <f>SUM(H18:H20)</f>
        <v>164.77699999999999</v>
      </c>
      <c r="I17" s="18">
        <f>SUM(I18:I20)</f>
        <v>0</v>
      </c>
      <c r="J17" s="13"/>
      <c r="K17" s="19"/>
      <c r="L17" s="14"/>
    </row>
    <row r="18" spans="1:12" x14ac:dyDescent="0.25">
      <c r="A18" s="12"/>
      <c r="B18" s="22" t="s">
        <v>28</v>
      </c>
      <c r="C18" s="23"/>
      <c r="D18" s="24" t="s">
        <v>27</v>
      </c>
      <c r="E18" s="25"/>
      <c r="F18" s="25"/>
      <c r="G18" s="25"/>
      <c r="H18" s="25"/>
      <c r="I18" s="25"/>
      <c r="J18" s="13"/>
      <c r="K18" s="19"/>
      <c r="L18" s="14"/>
    </row>
    <row r="19" spans="1:12" x14ac:dyDescent="0.25">
      <c r="A19" s="30" t="s">
        <v>29</v>
      </c>
      <c r="B19" s="31" t="s">
        <v>30</v>
      </c>
      <c r="C19" s="32" t="s">
        <v>31</v>
      </c>
      <c r="D19" s="33">
        <v>431</v>
      </c>
      <c r="E19" s="34">
        <f>SUM(F19:I19)</f>
        <v>5355.1670000000004</v>
      </c>
      <c r="F19" s="35">
        <v>559.29100000000005</v>
      </c>
      <c r="G19" s="35">
        <v>4631.0990000000002</v>
      </c>
      <c r="H19" s="35">
        <v>164.77699999999999</v>
      </c>
      <c r="I19" s="36"/>
      <c r="J19" s="13"/>
      <c r="K19" s="37" t="s">
        <v>32</v>
      </c>
      <c r="L19" s="38" t="s">
        <v>33</v>
      </c>
    </row>
    <row r="20" spans="1:12" x14ac:dyDescent="0.25">
      <c r="A20" s="12"/>
      <c r="B20" s="26"/>
      <c r="C20" s="27" t="s">
        <v>20</v>
      </c>
      <c r="D20" s="28"/>
      <c r="E20" s="28"/>
      <c r="F20" s="28"/>
      <c r="G20" s="28"/>
      <c r="H20" s="28"/>
      <c r="I20" s="29"/>
      <c r="J20" s="13"/>
      <c r="K20" s="19"/>
      <c r="L20" s="14"/>
    </row>
    <row r="21" spans="1:12" ht="22.5" x14ac:dyDescent="0.25">
      <c r="A21" s="12"/>
      <c r="B21" s="15" t="s">
        <v>34</v>
      </c>
      <c r="C21" s="16" t="s">
        <v>35</v>
      </c>
      <c r="D21" s="17" t="s">
        <v>36</v>
      </c>
      <c r="E21" s="18">
        <f t="shared" si="0"/>
        <v>1820.3950000000004</v>
      </c>
      <c r="F21" s="18">
        <f>F23+F24+F25</f>
        <v>0</v>
      </c>
      <c r="G21" s="18">
        <f>G22+G24+G25</f>
        <v>0</v>
      </c>
      <c r="H21" s="18">
        <f>H22+H23+H25</f>
        <v>1186.7460000000001</v>
      </c>
      <c r="I21" s="18">
        <f>I22+I23+I24</f>
        <v>633.64900000000023</v>
      </c>
      <c r="J21" s="13"/>
      <c r="K21" s="19"/>
      <c r="L21" s="14"/>
    </row>
    <row r="22" spans="1:12" x14ac:dyDescent="0.25">
      <c r="A22" s="12"/>
      <c r="B22" s="15" t="s">
        <v>37</v>
      </c>
      <c r="C22" s="20" t="s">
        <v>7</v>
      </c>
      <c r="D22" s="17" t="s">
        <v>38</v>
      </c>
      <c r="E22" s="18">
        <f t="shared" si="0"/>
        <v>540.14600000000007</v>
      </c>
      <c r="F22" s="39"/>
      <c r="G22" s="21"/>
      <c r="H22" s="21">
        <f>F38</f>
        <v>540.14600000000007</v>
      </c>
      <c r="I22" s="21"/>
      <c r="J22" s="13"/>
      <c r="K22" s="19"/>
      <c r="L22" s="14"/>
    </row>
    <row r="23" spans="1:12" x14ac:dyDescent="0.25">
      <c r="A23" s="12"/>
      <c r="B23" s="15" t="s">
        <v>39</v>
      </c>
      <c r="C23" s="20" t="s">
        <v>8</v>
      </c>
      <c r="D23" s="17" t="s">
        <v>40</v>
      </c>
      <c r="E23" s="18">
        <f t="shared" si="0"/>
        <v>646.6</v>
      </c>
      <c r="F23" s="21"/>
      <c r="G23" s="39"/>
      <c r="H23" s="21">
        <f>G19-G27-G41</f>
        <v>646.6</v>
      </c>
      <c r="I23" s="21"/>
      <c r="J23" s="13"/>
      <c r="K23" s="19"/>
      <c r="L23" s="14"/>
    </row>
    <row r="24" spans="1:12" x14ac:dyDescent="0.25">
      <c r="A24" s="12"/>
      <c r="B24" s="15" t="s">
        <v>41</v>
      </c>
      <c r="C24" s="20" t="s">
        <v>9</v>
      </c>
      <c r="D24" s="17" t="s">
        <v>42</v>
      </c>
      <c r="E24" s="18">
        <f t="shared" si="0"/>
        <v>633.64900000000023</v>
      </c>
      <c r="F24" s="21"/>
      <c r="G24" s="21"/>
      <c r="H24" s="39"/>
      <c r="I24" s="21">
        <f>H17+H21-H41-H27</f>
        <v>633.64900000000023</v>
      </c>
      <c r="J24" s="13"/>
      <c r="K24" s="19"/>
      <c r="L24" s="14"/>
    </row>
    <row r="25" spans="1:12" x14ac:dyDescent="0.25">
      <c r="A25" s="12"/>
      <c r="B25" s="15" t="s">
        <v>43</v>
      </c>
      <c r="C25" s="20" t="s">
        <v>44</v>
      </c>
      <c r="D25" s="17" t="s">
        <v>45</v>
      </c>
      <c r="E25" s="18">
        <f t="shared" si="0"/>
        <v>0</v>
      </c>
      <c r="F25" s="21"/>
      <c r="G25" s="21"/>
      <c r="H25" s="21"/>
      <c r="I25" s="39"/>
      <c r="J25" s="13"/>
      <c r="K25" s="19"/>
      <c r="L25" s="14"/>
    </row>
    <row r="26" spans="1:12" ht="22.5" x14ac:dyDescent="0.25">
      <c r="A26" s="12"/>
      <c r="B26" s="15" t="s">
        <v>46</v>
      </c>
      <c r="C26" s="40" t="s">
        <v>47</v>
      </c>
      <c r="D26" s="17" t="s">
        <v>48</v>
      </c>
      <c r="E26" s="18">
        <f t="shared" si="0"/>
        <v>0</v>
      </c>
      <c r="F26" s="21"/>
      <c r="G26" s="21"/>
      <c r="H26" s="21"/>
      <c r="I26" s="21"/>
      <c r="J26" s="13"/>
      <c r="K26" s="19"/>
      <c r="L26" s="14"/>
    </row>
    <row r="27" spans="1:12" x14ac:dyDescent="0.25">
      <c r="A27" s="12"/>
      <c r="B27" s="15" t="s">
        <v>49</v>
      </c>
      <c r="C27" s="16" t="s">
        <v>50</v>
      </c>
      <c r="D27" s="41" t="s">
        <v>51</v>
      </c>
      <c r="E27" s="18">
        <f t="shared" si="0"/>
        <v>5256.0709999999999</v>
      </c>
      <c r="F27" s="18">
        <f>F28+F30+F33+F37</f>
        <v>0</v>
      </c>
      <c r="G27" s="18">
        <f>G28+G30+G33+G37</f>
        <v>3960.6790000000001</v>
      </c>
      <c r="H27" s="18">
        <f>H28+H30+H33+H37</f>
        <v>716.48699999999997</v>
      </c>
      <c r="I27" s="18">
        <f>I28+I30+I33+I37</f>
        <v>578.90499999999997</v>
      </c>
      <c r="J27" s="13"/>
      <c r="K27" s="19"/>
      <c r="L27" s="14"/>
    </row>
    <row r="28" spans="1:12" ht="33.75" x14ac:dyDescent="0.25">
      <c r="A28" s="12"/>
      <c r="B28" s="15" t="s">
        <v>52</v>
      </c>
      <c r="C28" s="20" t="s">
        <v>53</v>
      </c>
      <c r="D28" s="17" t="s">
        <v>54</v>
      </c>
      <c r="E28" s="18">
        <f t="shared" si="0"/>
        <v>0</v>
      </c>
      <c r="F28" s="21"/>
      <c r="G28" s="21"/>
      <c r="H28" s="21"/>
      <c r="I28" s="21"/>
      <c r="J28" s="13"/>
      <c r="K28" s="19"/>
      <c r="L28" s="14"/>
    </row>
    <row r="29" spans="1:12" ht="22.5" x14ac:dyDescent="0.25">
      <c r="A29" s="12"/>
      <c r="B29" s="15" t="s">
        <v>55</v>
      </c>
      <c r="C29" s="42" t="s">
        <v>56</v>
      </c>
      <c r="D29" s="17" t="s">
        <v>57</v>
      </c>
      <c r="E29" s="18">
        <f t="shared" si="0"/>
        <v>0</v>
      </c>
      <c r="F29" s="21"/>
      <c r="G29" s="21"/>
      <c r="H29" s="21"/>
      <c r="I29" s="21"/>
      <c r="J29" s="13"/>
      <c r="K29" s="19"/>
      <c r="L29" s="14"/>
    </row>
    <row r="30" spans="1:12" x14ac:dyDescent="0.25">
      <c r="A30" s="12"/>
      <c r="B30" s="15" t="s">
        <v>58</v>
      </c>
      <c r="C30" s="20" t="s">
        <v>59</v>
      </c>
      <c r="D30" s="17" t="s">
        <v>60</v>
      </c>
      <c r="E30" s="18">
        <f t="shared" si="0"/>
        <v>1959.0170000000001</v>
      </c>
      <c r="F30" s="21">
        <v>0</v>
      </c>
      <c r="G30" s="21">
        <v>663.625</v>
      </c>
      <c r="H30" s="21">
        <v>716.48699999999997</v>
      </c>
      <c r="I30" s="21">
        <v>578.90499999999997</v>
      </c>
      <c r="J30" s="13"/>
      <c r="K30" s="19"/>
      <c r="L30" s="14"/>
    </row>
    <row r="31" spans="1:12" x14ac:dyDescent="0.25">
      <c r="A31" s="12"/>
      <c r="B31" s="15" t="s">
        <v>61</v>
      </c>
      <c r="C31" s="42" t="s">
        <v>62</v>
      </c>
      <c r="D31" s="17" t="s">
        <v>63</v>
      </c>
      <c r="E31" s="18">
        <f t="shared" si="0"/>
        <v>0</v>
      </c>
      <c r="F31" s="21"/>
      <c r="G31" s="21"/>
      <c r="H31" s="21"/>
      <c r="I31" s="21"/>
      <c r="J31" s="13"/>
      <c r="K31" s="19"/>
      <c r="L31" s="14"/>
    </row>
    <row r="32" spans="1:12" ht="22.5" x14ac:dyDescent="0.25">
      <c r="A32" s="12"/>
      <c r="B32" s="15" t="s">
        <v>64</v>
      </c>
      <c r="C32" s="43" t="s">
        <v>56</v>
      </c>
      <c r="D32" s="17" t="s">
        <v>65</v>
      </c>
      <c r="E32" s="18">
        <f t="shared" si="0"/>
        <v>0</v>
      </c>
      <c r="F32" s="21"/>
      <c r="G32" s="21"/>
      <c r="H32" s="21"/>
      <c r="I32" s="21"/>
      <c r="J32" s="13"/>
      <c r="K32" s="19"/>
      <c r="L32" s="14"/>
    </row>
    <row r="33" spans="1:12" x14ac:dyDescent="0.25">
      <c r="A33" s="12"/>
      <c r="B33" s="15" t="s">
        <v>66</v>
      </c>
      <c r="C33" s="20" t="s">
        <v>67</v>
      </c>
      <c r="D33" s="17" t="s">
        <v>68</v>
      </c>
      <c r="E33" s="18">
        <f t="shared" si="0"/>
        <v>3297.0540000000001</v>
      </c>
      <c r="F33" s="18">
        <f>SUM(F34:F36)</f>
        <v>0</v>
      </c>
      <c r="G33" s="18">
        <f>SUM(G34:G36)</f>
        <v>3297.0540000000001</v>
      </c>
      <c r="H33" s="18">
        <f>SUM(H34:H36)</f>
        <v>0</v>
      </c>
      <c r="I33" s="18">
        <f>SUM(I34:I36)</f>
        <v>0</v>
      </c>
      <c r="J33" s="13"/>
      <c r="K33" s="19"/>
      <c r="L33" s="14"/>
    </row>
    <row r="34" spans="1:12" x14ac:dyDescent="0.25">
      <c r="A34" s="12"/>
      <c r="B34" s="22" t="s">
        <v>69</v>
      </c>
      <c r="C34" s="23"/>
      <c r="D34" s="24" t="s">
        <v>68</v>
      </c>
      <c r="E34" s="25"/>
      <c r="F34" s="25"/>
      <c r="G34" s="25"/>
      <c r="H34" s="25"/>
      <c r="I34" s="25"/>
      <c r="J34" s="13"/>
      <c r="K34" s="19"/>
      <c r="L34" s="14"/>
    </row>
    <row r="35" spans="1:12" x14ac:dyDescent="0.25">
      <c r="A35" s="30" t="s">
        <v>29</v>
      </c>
      <c r="B35" s="31" t="s">
        <v>70</v>
      </c>
      <c r="C35" s="32" t="s">
        <v>71</v>
      </c>
      <c r="D35" s="33">
        <v>751</v>
      </c>
      <c r="E35" s="34">
        <f>SUM(F35:I35)</f>
        <v>3297.0540000000001</v>
      </c>
      <c r="F35" s="35"/>
      <c r="G35" s="35">
        <v>3297.0540000000001</v>
      </c>
      <c r="H35" s="35"/>
      <c r="I35" s="36"/>
      <c r="J35" s="13"/>
      <c r="K35" s="37" t="s">
        <v>72</v>
      </c>
      <c r="L35" s="38" t="s">
        <v>73</v>
      </c>
    </row>
    <row r="36" spans="1:12" x14ac:dyDescent="0.25">
      <c r="A36" s="12"/>
      <c r="B36" s="44"/>
      <c r="C36" s="27" t="s">
        <v>20</v>
      </c>
      <c r="D36" s="28"/>
      <c r="E36" s="28"/>
      <c r="F36" s="28"/>
      <c r="G36" s="28"/>
      <c r="H36" s="28"/>
      <c r="I36" s="29"/>
      <c r="J36" s="13"/>
      <c r="K36" s="19"/>
      <c r="L36" s="14"/>
    </row>
    <row r="37" spans="1:12" x14ac:dyDescent="0.25">
      <c r="A37" s="12"/>
      <c r="B37" s="15" t="s">
        <v>74</v>
      </c>
      <c r="C37" s="45" t="s">
        <v>75</v>
      </c>
      <c r="D37" s="17" t="s">
        <v>76</v>
      </c>
      <c r="E37" s="18">
        <f t="shared" si="0"/>
        <v>0</v>
      </c>
      <c r="F37" s="21"/>
      <c r="G37" s="21"/>
      <c r="H37" s="21"/>
      <c r="I37" s="21"/>
      <c r="J37" s="13"/>
      <c r="K37" s="19"/>
      <c r="L37" s="14"/>
    </row>
    <row r="38" spans="1:12" x14ac:dyDescent="0.25">
      <c r="A38" s="12"/>
      <c r="B38" s="15" t="s">
        <v>77</v>
      </c>
      <c r="C38" s="16" t="s">
        <v>78</v>
      </c>
      <c r="D38" s="17" t="s">
        <v>79</v>
      </c>
      <c r="E38" s="18">
        <f t="shared" si="0"/>
        <v>1820.3950000000007</v>
      </c>
      <c r="F38" s="21">
        <f>F19-F41</f>
        <v>540.14600000000007</v>
      </c>
      <c r="G38" s="21">
        <f>G9-G27-G41</f>
        <v>646.6</v>
      </c>
      <c r="H38" s="21">
        <f>H17+H21-H27-H41</f>
        <v>633.64900000000023</v>
      </c>
      <c r="I38" s="21">
        <f>I24-I27-I41</f>
        <v>2.5579538487363607E-13</v>
      </c>
      <c r="J38" s="13"/>
      <c r="K38" s="19"/>
      <c r="L38" s="14"/>
    </row>
    <row r="39" spans="1:12" x14ac:dyDescent="0.25">
      <c r="A39" s="12"/>
      <c r="B39" s="15" t="s">
        <v>80</v>
      </c>
      <c r="C39" s="16" t="s">
        <v>81</v>
      </c>
      <c r="D39" s="17" t="s">
        <v>82</v>
      </c>
      <c r="E39" s="18">
        <f t="shared" si="0"/>
        <v>0</v>
      </c>
      <c r="F39" s="21"/>
      <c r="G39" s="21"/>
      <c r="H39" s="21"/>
      <c r="I39" s="21"/>
      <c r="J39" s="13"/>
      <c r="K39" s="19"/>
      <c r="L39" s="14"/>
    </row>
    <row r="40" spans="1:12" x14ac:dyDescent="0.25">
      <c r="A40" s="12"/>
      <c r="B40" s="15" t="s">
        <v>83</v>
      </c>
      <c r="C40" s="16" t="s">
        <v>84</v>
      </c>
      <c r="D40" s="17" t="s">
        <v>85</v>
      </c>
      <c r="E40" s="18">
        <f t="shared" si="0"/>
        <v>0</v>
      </c>
      <c r="F40" s="21"/>
      <c r="G40" s="21"/>
      <c r="H40" s="21"/>
      <c r="I40" s="21"/>
      <c r="J40" s="13"/>
      <c r="K40" s="19"/>
      <c r="L40" s="14"/>
    </row>
    <row r="41" spans="1:12" ht="22.5" x14ac:dyDescent="0.25">
      <c r="A41" s="12"/>
      <c r="B41" s="15" t="s">
        <v>86</v>
      </c>
      <c r="C41" s="16" t="s">
        <v>87</v>
      </c>
      <c r="D41" s="17" t="s">
        <v>88</v>
      </c>
      <c r="E41" s="18">
        <f t="shared" si="0"/>
        <v>99.096000000000004</v>
      </c>
      <c r="F41" s="21">
        <v>19.145</v>
      </c>
      <c r="G41" s="21">
        <v>23.82</v>
      </c>
      <c r="H41" s="21">
        <v>1.387</v>
      </c>
      <c r="I41" s="21">
        <v>54.744</v>
      </c>
      <c r="J41" s="13"/>
      <c r="K41" s="19"/>
      <c r="L41" s="14"/>
    </row>
    <row r="42" spans="1:12" ht="22.5" x14ac:dyDescent="0.25">
      <c r="A42" s="12"/>
      <c r="B42" s="15" t="s">
        <v>89</v>
      </c>
      <c r="C42" s="20" t="s">
        <v>90</v>
      </c>
      <c r="D42" s="17" t="s">
        <v>91</v>
      </c>
      <c r="E42" s="18">
        <f t="shared" si="0"/>
        <v>0</v>
      </c>
      <c r="F42" s="21"/>
      <c r="G42" s="21"/>
      <c r="H42" s="21"/>
      <c r="I42" s="21"/>
      <c r="J42" s="13"/>
      <c r="K42" s="19"/>
      <c r="L42" s="14"/>
    </row>
    <row r="43" spans="1:12" ht="22.5" x14ac:dyDescent="0.25">
      <c r="A43" s="12"/>
      <c r="B43" s="15" t="s">
        <v>92</v>
      </c>
      <c r="C43" s="16" t="s">
        <v>93</v>
      </c>
      <c r="D43" s="17" t="s">
        <v>94</v>
      </c>
      <c r="E43" s="18">
        <f t="shared" si="0"/>
        <v>234</v>
      </c>
      <c r="F43" s="21"/>
      <c r="G43" s="21">
        <v>57.752084491384103</v>
      </c>
      <c r="H43" s="21">
        <v>77.002779321845466</v>
      </c>
      <c r="I43" s="21">
        <v>99.245136186770438</v>
      </c>
      <c r="J43" s="13"/>
      <c r="K43" s="19"/>
      <c r="L43" s="14"/>
    </row>
    <row r="44" spans="1:12" ht="45" x14ac:dyDescent="0.25">
      <c r="A44" s="12"/>
      <c r="B44" s="15" t="s">
        <v>95</v>
      </c>
      <c r="C44" s="40" t="s">
        <v>96</v>
      </c>
      <c r="D44" s="17" t="s">
        <v>97</v>
      </c>
      <c r="E44" s="18">
        <f t="shared" si="0"/>
        <v>-134.904</v>
      </c>
      <c r="F44" s="18">
        <f>F41-F43</f>
        <v>19.145</v>
      </c>
      <c r="G44" s="18">
        <f>G41-G43</f>
        <v>-33.932084491384103</v>
      </c>
      <c r="H44" s="18">
        <f>H41-H43</f>
        <v>-75.615779321845466</v>
      </c>
      <c r="I44" s="18">
        <f>I41-I43</f>
        <v>-44.501136186770438</v>
      </c>
      <c r="J44" s="13"/>
      <c r="K44" s="19"/>
      <c r="L44" s="14"/>
    </row>
    <row r="45" spans="1:12" x14ac:dyDescent="0.25">
      <c r="A45" s="12"/>
      <c r="B45" s="15" t="s">
        <v>98</v>
      </c>
      <c r="C45" s="16" t="s">
        <v>99</v>
      </c>
      <c r="D45" s="17" t="s">
        <v>100</v>
      </c>
      <c r="E45" s="18">
        <f t="shared" si="0"/>
        <v>0</v>
      </c>
      <c r="F45" s="18">
        <f>(F9+F21+F26)-(F27+F38+F39+F40+F41)</f>
        <v>0</v>
      </c>
      <c r="G45" s="18">
        <f>(G9+G21+G26)-(G27+G38+G39+G40+G41)</f>
        <v>0</v>
      </c>
      <c r="H45" s="18">
        <f>(H9+H21+H26)-(H27+H38+H39+H40+H41)</f>
        <v>0</v>
      </c>
      <c r="I45" s="18">
        <f>(I9+I21+I26)-(I27+I38+I39+I40+I41)</f>
        <v>0</v>
      </c>
      <c r="J45" s="13"/>
      <c r="K45" s="19"/>
      <c r="L45" s="14"/>
    </row>
    <row r="46" spans="1:12" x14ac:dyDescent="0.25">
      <c r="A46" s="12"/>
      <c r="B46" s="111" t="s">
        <v>101</v>
      </c>
      <c r="C46" s="112"/>
      <c r="D46" s="112"/>
      <c r="E46" s="112"/>
      <c r="F46" s="112"/>
      <c r="G46" s="112"/>
      <c r="H46" s="112"/>
      <c r="I46" s="113"/>
      <c r="J46" s="13"/>
      <c r="K46" s="19"/>
      <c r="L46" s="14"/>
    </row>
    <row r="47" spans="1:12" x14ac:dyDescent="0.25">
      <c r="A47" s="12"/>
      <c r="B47" s="15" t="s">
        <v>102</v>
      </c>
      <c r="C47" s="16" t="s">
        <v>13</v>
      </c>
      <c r="D47" s="17" t="s">
        <v>103</v>
      </c>
      <c r="E47" s="18">
        <f t="shared" si="0"/>
        <v>7.4377319444444447</v>
      </c>
      <c r="F47" s="18">
        <f>F48+F49+F52+F55</f>
        <v>0.77679305555555567</v>
      </c>
      <c r="G47" s="18">
        <f>G48+G49+G52+G55</f>
        <v>6.4320819444444446</v>
      </c>
      <c r="H47" s="18">
        <f>H48+H49+H52+H55</f>
        <v>0.22885694444444443</v>
      </c>
      <c r="I47" s="18">
        <f>I48+I49+I52+I55</f>
        <v>0</v>
      </c>
      <c r="J47" s="13"/>
      <c r="K47" s="19"/>
      <c r="L47" s="14"/>
    </row>
    <row r="48" spans="1:12" x14ac:dyDescent="0.25">
      <c r="A48" s="12"/>
      <c r="B48" s="15" t="s">
        <v>104</v>
      </c>
      <c r="C48" s="20" t="s">
        <v>15</v>
      </c>
      <c r="D48" s="17" t="s">
        <v>105</v>
      </c>
      <c r="E48" s="18">
        <f t="shared" si="0"/>
        <v>0</v>
      </c>
      <c r="F48" s="21"/>
      <c r="G48" s="21"/>
      <c r="H48" s="21"/>
      <c r="I48" s="21"/>
      <c r="J48" s="13"/>
      <c r="K48" s="19"/>
      <c r="L48" s="14"/>
    </row>
    <row r="49" spans="1:12" x14ac:dyDescent="0.25">
      <c r="A49" s="12"/>
      <c r="B49" s="15" t="s">
        <v>106</v>
      </c>
      <c r="C49" s="20" t="s">
        <v>17</v>
      </c>
      <c r="D49" s="17" t="s">
        <v>107</v>
      </c>
      <c r="E49" s="18">
        <f t="shared" si="0"/>
        <v>0</v>
      </c>
      <c r="F49" s="18">
        <f>SUM(F50:F51)</f>
        <v>0</v>
      </c>
      <c r="G49" s="18">
        <f>SUM(G50:G51)</f>
        <v>0</v>
      </c>
      <c r="H49" s="18">
        <f>SUM(H50:H51)</f>
        <v>0</v>
      </c>
      <c r="I49" s="18">
        <f>SUM(I50:I51)</f>
        <v>0</v>
      </c>
      <c r="J49" s="13"/>
      <c r="K49" s="19"/>
      <c r="L49" s="14"/>
    </row>
    <row r="50" spans="1:12" x14ac:dyDescent="0.25">
      <c r="A50" s="12"/>
      <c r="B50" s="22" t="s">
        <v>108</v>
      </c>
      <c r="C50" s="23"/>
      <c r="D50" s="24" t="s">
        <v>107</v>
      </c>
      <c r="E50" s="25"/>
      <c r="F50" s="25"/>
      <c r="G50" s="25"/>
      <c r="H50" s="25"/>
      <c r="I50" s="25"/>
      <c r="J50" s="13"/>
      <c r="K50" s="19"/>
      <c r="L50" s="14"/>
    </row>
    <row r="51" spans="1:12" x14ac:dyDescent="0.25">
      <c r="A51" s="12"/>
      <c r="B51" s="26"/>
      <c r="C51" s="27" t="s">
        <v>20</v>
      </c>
      <c r="D51" s="28"/>
      <c r="E51" s="28"/>
      <c r="F51" s="28"/>
      <c r="G51" s="28"/>
      <c r="H51" s="28"/>
      <c r="I51" s="29"/>
      <c r="J51" s="13"/>
      <c r="K51" s="19"/>
      <c r="L51" s="14"/>
    </row>
    <row r="52" spans="1:12" x14ac:dyDescent="0.25">
      <c r="A52" s="12"/>
      <c r="B52" s="15" t="s">
        <v>109</v>
      </c>
      <c r="C52" s="20" t="s">
        <v>22</v>
      </c>
      <c r="D52" s="17" t="s">
        <v>110</v>
      </c>
      <c r="E52" s="18">
        <f t="shared" si="0"/>
        <v>0</v>
      </c>
      <c r="F52" s="18">
        <f>SUM(F53:F54)</f>
        <v>0</v>
      </c>
      <c r="G52" s="18">
        <f>SUM(G53:G54)</f>
        <v>0</v>
      </c>
      <c r="H52" s="18">
        <f>SUM(H53:H54)</f>
        <v>0</v>
      </c>
      <c r="I52" s="18">
        <f>SUM(I53:I54)</f>
        <v>0</v>
      </c>
      <c r="J52" s="13"/>
      <c r="K52" s="19"/>
      <c r="L52" s="14"/>
    </row>
    <row r="53" spans="1:12" x14ac:dyDescent="0.25">
      <c r="A53" s="12"/>
      <c r="B53" s="22" t="s">
        <v>111</v>
      </c>
      <c r="C53" s="23"/>
      <c r="D53" s="24" t="s">
        <v>110</v>
      </c>
      <c r="E53" s="25"/>
      <c r="F53" s="25"/>
      <c r="G53" s="25"/>
      <c r="H53" s="25"/>
      <c r="I53" s="25"/>
      <c r="J53" s="13"/>
      <c r="K53" s="19"/>
      <c r="L53" s="14"/>
    </row>
    <row r="54" spans="1:12" x14ac:dyDescent="0.25">
      <c r="A54" s="12"/>
      <c r="B54" s="26"/>
      <c r="C54" s="27" t="s">
        <v>20</v>
      </c>
      <c r="D54" s="28"/>
      <c r="E54" s="28"/>
      <c r="F54" s="28"/>
      <c r="G54" s="28"/>
      <c r="H54" s="28"/>
      <c r="I54" s="29"/>
      <c r="J54" s="13"/>
      <c r="K54" s="19"/>
      <c r="L54" s="14"/>
    </row>
    <row r="55" spans="1:12" x14ac:dyDescent="0.25">
      <c r="A55" s="12"/>
      <c r="B55" s="15" t="s">
        <v>112</v>
      </c>
      <c r="C55" s="20" t="s">
        <v>26</v>
      </c>
      <c r="D55" s="17" t="s">
        <v>113</v>
      </c>
      <c r="E55" s="18">
        <f t="shared" si="0"/>
        <v>7.4377319444444447</v>
      </c>
      <c r="F55" s="18">
        <f>SUM(F56:F58)</f>
        <v>0.77679305555555567</v>
      </c>
      <c r="G55" s="18">
        <f>SUM(G56:G58)</f>
        <v>6.4320819444444446</v>
      </c>
      <c r="H55" s="18">
        <f>SUM(H56:H58)</f>
        <v>0.22885694444444443</v>
      </c>
      <c r="I55" s="18">
        <f>SUM(I56:I58)</f>
        <v>0</v>
      </c>
      <c r="J55" s="13"/>
      <c r="K55" s="19"/>
      <c r="L55" s="14"/>
    </row>
    <row r="56" spans="1:12" x14ac:dyDescent="0.25">
      <c r="A56" s="12"/>
      <c r="B56" s="22" t="s">
        <v>114</v>
      </c>
      <c r="C56" s="23"/>
      <c r="D56" s="24" t="s">
        <v>113</v>
      </c>
      <c r="E56" s="25"/>
      <c r="F56" s="25"/>
      <c r="G56" s="25"/>
      <c r="H56" s="25"/>
      <c r="I56" s="25"/>
      <c r="J56" s="13"/>
      <c r="K56" s="19"/>
      <c r="L56" s="14"/>
    </row>
    <row r="57" spans="1:12" x14ac:dyDescent="0.25">
      <c r="A57" s="30" t="s">
        <v>29</v>
      </c>
      <c r="B57" s="31" t="s">
        <v>115</v>
      </c>
      <c r="C57" s="32" t="s">
        <v>31</v>
      </c>
      <c r="D57" s="33">
        <v>1461</v>
      </c>
      <c r="E57" s="34">
        <f>SUM(F57:I57)</f>
        <v>7.4377319444444447</v>
      </c>
      <c r="F57" s="35">
        <f>F19/720</f>
        <v>0.77679305555555567</v>
      </c>
      <c r="G57" s="35">
        <f>G19/720</f>
        <v>6.4320819444444446</v>
      </c>
      <c r="H57" s="35">
        <f>H19/720</f>
        <v>0.22885694444444443</v>
      </c>
      <c r="I57" s="35"/>
      <c r="J57" s="13"/>
      <c r="K57" s="37" t="s">
        <v>32</v>
      </c>
      <c r="L57" s="38" t="s">
        <v>33</v>
      </c>
    </row>
    <row r="58" spans="1:12" x14ac:dyDescent="0.25">
      <c r="A58" s="12"/>
      <c r="B58" s="26"/>
      <c r="C58" s="27" t="s">
        <v>20</v>
      </c>
      <c r="D58" s="28"/>
      <c r="E58" s="28"/>
      <c r="F58" s="28"/>
      <c r="G58" s="28"/>
      <c r="H58" s="28"/>
      <c r="I58" s="29"/>
      <c r="J58" s="13"/>
      <c r="K58" s="19"/>
      <c r="L58" s="14"/>
    </row>
    <row r="59" spans="1:12" ht="22.5" x14ac:dyDescent="0.25">
      <c r="A59" s="12"/>
      <c r="B59" s="15" t="s">
        <v>116</v>
      </c>
      <c r="C59" s="16" t="s">
        <v>35</v>
      </c>
      <c r="D59" s="17" t="s">
        <v>117</v>
      </c>
      <c r="E59" s="18">
        <f t="shared" si="0"/>
        <v>2.5283263888888894</v>
      </c>
      <c r="F59" s="18">
        <f>F61+F62+F63</f>
        <v>0</v>
      </c>
      <c r="G59" s="18">
        <f>G60+G62+G63</f>
        <v>0</v>
      </c>
      <c r="H59" s="18">
        <f>H60+H61+H63</f>
        <v>1.6482583333333336</v>
      </c>
      <c r="I59" s="18">
        <f>I60+I61+I62</f>
        <v>0.88006805555555589</v>
      </c>
      <c r="J59" s="13"/>
      <c r="K59" s="19"/>
      <c r="L59" s="14"/>
    </row>
    <row r="60" spans="1:12" x14ac:dyDescent="0.25">
      <c r="A60" s="12"/>
      <c r="B60" s="15" t="s">
        <v>118</v>
      </c>
      <c r="C60" s="20" t="s">
        <v>7</v>
      </c>
      <c r="D60" s="17" t="s">
        <v>119</v>
      </c>
      <c r="E60" s="18">
        <f t="shared" si="0"/>
        <v>0.75020277777777788</v>
      </c>
      <c r="F60" s="39"/>
      <c r="G60" s="21"/>
      <c r="H60" s="21">
        <f>H22/720</f>
        <v>0.75020277777777788</v>
      </c>
      <c r="I60" s="21"/>
      <c r="J60" s="13"/>
      <c r="K60" s="19"/>
      <c r="L60" s="14"/>
    </row>
    <row r="61" spans="1:12" x14ac:dyDescent="0.25">
      <c r="A61" s="12"/>
      <c r="B61" s="15" t="s">
        <v>120</v>
      </c>
      <c r="C61" s="20" t="s">
        <v>8</v>
      </c>
      <c r="D61" s="17" t="s">
        <v>121</v>
      </c>
      <c r="E61" s="18">
        <f t="shared" si="0"/>
        <v>0.89805555555555561</v>
      </c>
      <c r="F61" s="21"/>
      <c r="G61" s="46"/>
      <c r="H61" s="21">
        <f>H23/720</f>
        <v>0.89805555555555561</v>
      </c>
      <c r="I61" s="21"/>
      <c r="J61" s="13"/>
      <c r="K61" s="19"/>
      <c r="L61" s="14"/>
    </row>
    <row r="62" spans="1:12" x14ac:dyDescent="0.25">
      <c r="A62" s="12"/>
      <c r="B62" s="15" t="s">
        <v>122</v>
      </c>
      <c r="C62" s="20" t="s">
        <v>9</v>
      </c>
      <c r="D62" s="17" t="s">
        <v>123</v>
      </c>
      <c r="E62" s="18">
        <f t="shared" si="0"/>
        <v>0.88006805555555589</v>
      </c>
      <c r="F62" s="21"/>
      <c r="G62" s="21"/>
      <c r="H62" s="39"/>
      <c r="I62" s="21">
        <f>I24/720</f>
        <v>0.88006805555555589</v>
      </c>
      <c r="J62" s="13"/>
      <c r="K62" s="19"/>
      <c r="L62" s="14"/>
    </row>
    <row r="63" spans="1:12" x14ac:dyDescent="0.25">
      <c r="A63" s="12"/>
      <c r="B63" s="15" t="s">
        <v>124</v>
      </c>
      <c r="C63" s="20" t="s">
        <v>44</v>
      </c>
      <c r="D63" s="17" t="s">
        <v>125</v>
      </c>
      <c r="E63" s="18">
        <f t="shared" si="0"/>
        <v>0</v>
      </c>
      <c r="F63" s="21"/>
      <c r="G63" s="21"/>
      <c r="H63" s="21"/>
      <c r="I63" s="39"/>
      <c r="J63" s="13"/>
      <c r="K63" s="19"/>
      <c r="L63" s="14"/>
    </row>
    <row r="64" spans="1:12" ht="22.5" x14ac:dyDescent="0.25">
      <c r="A64" s="12"/>
      <c r="B64" s="15" t="s">
        <v>126</v>
      </c>
      <c r="C64" s="40" t="s">
        <v>47</v>
      </c>
      <c r="D64" s="17" t="s">
        <v>127</v>
      </c>
      <c r="E64" s="18">
        <f t="shared" si="0"/>
        <v>0</v>
      </c>
      <c r="F64" s="21"/>
      <c r="G64" s="21"/>
      <c r="H64" s="21"/>
      <c r="I64" s="21"/>
      <c r="J64" s="13"/>
      <c r="K64" s="19"/>
      <c r="L64" s="14"/>
    </row>
    <row r="65" spans="1:12" x14ac:dyDescent="0.25">
      <c r="A65" s="12"/>
      <c r="B65" s="15" t="s">
        <v>128</v>
      </c>
      <c r="C65" s="16" t="s">
        <v>50</v>
      </c>
      <c r="D65" s="41" t="s">
        <v>129</v>
      </c>
      <c r="E65" s="18">
        <f t="shared" si="0"/>
        <v>7.3000986111111104</v>
      </c>
      <c r="F65" s="18">
        <f>F66+F68+F71+F75</f>
        <v>0</v>
      </c>
      <c r="G65" s="18">
        <f>G66+G68+G71+G75</f>
        <v>5.5009430555555552</v>
      </c>
      <c r="H65" s="18">
        <f>H66+H68+H71+H75</f>
        <v>0.99512083333333323</v>
      </c>
      <c r="I65" s="18">
        <f>I66+I68+I71+I75</f>
        <v>0.80403472222222216</v>
      </c>
      <c r="J65" s="13"/>
      <c r="K65" s="19"/>
      <c r="L65" s="14"/>
    </row>
    <row r="66" spans="1:12" ht="33.75" x14ac:dyDescent="0.25">
      <c r="A66" s="12"/>
      <c r="B66" s="15" t="s">
        <v>130</v>
      </c>
      <c r="C66" s="20" t="s">
        <v>53</v>
      </c>
      <c r="D66" s="17" t="s">
        <v>131</v>
      </c>
      <c r="E66" s="18">
        <f t="shared" si="0"/>
        <v>0</v>
      </c>
      <c r="F66" s="21"/>
      <c r="G66" s="21"/>
      <c r="H66" s="21"/>
      <c r="I66" s="21"/>
      <c r="J66" s="13"/>
      <c r="K66" s="19"/>
      <c r="L66" s="14"/>
    </row>
    <row r="67" spans="1:12" ht="22.5" x14ac:dyDescent="0.25">
      <c r="A67" s="12"/>
      <c r="B67" s="15" t="s">
        <v>132</v>
      </c>
      <c r="C67" s="42" t="s">
        <v>56</v>
      </c>
      <c r="D67" s="17" t="s">
        <v>133</v>
      </c>
      <c r="E67" s="18">
        <f t="shared" si="0"/>
        <v>0</v>
      </c>
      <c r="F67" s="21"/>
      <c r="G67" s="21"/>
      <c r="H67" s="21"/>
      <c r="I67" s="21"/>
      <c r="J67" s="13"/>
      <c r="K67" s="19"/>
      <c r="L67" s="14"/>
    </row>
    <row r="68" spans="1:12" x14ac:dyDescent="0.25">
      <c r="A68" s="12"/>
      <c r="B68" s="15" t="s">
        <v>134</v>
      </c>
      <c r="C68" s="20" t="s">
        <v>59</v>
      </c>
      <c r="D68" s="17" t="s">
        <v>135</v>
      </c>
      <c r="E68" s="18">
        <f t="shared" si="0"/>
        <v>2.7208569444444444</v>
      </c>
      <c r="F68" s="21"/>
      <c r="G68" s="21">
        <f>G30/720</f>
        <v>0.92170138888888886</v>
      </c>
      <c r="H68" s="21">
        <f>H30/720</f>
        <v>0.99512083333333323</v>
      </c>
      <c r="I68" s="21">
        <f>I30/720</f>
        <v>0.80403472222222216</v>
      </c>
      <c r="J68" s="13"/>
      <c r="K68" s="19"/>
      <c r="L68" s="14"/>
    </row>
    <row r="69" spans="1:12" x14ac:dyDescent="0.25">
      <c r="A69" s="12"/>
      <c r="B69" s="15" t="s">
        <v>136</v>
      </c>
      <c r="C69" s="42" t="s">
        <v>62</v>
      </c>
      <c r="D69" s="17" t="s">
        <v>137</v>
      </c>
      <c r="E69" s="18">
        <f t="shared" si="0"/>
        <v>0</v>
      </c>
      <c r="F69" s="21"/>
      <c r="G69" s="21"/>
      <c r="H69" s="21"/>
      <c r="I69" s="21"/>
      <c r="J69" s="13"/>
      <c r="K69" s="19"/>
      <c r="L69" s="14"/>
    </row>
    <row r="70" spans="1:12" ht="22.5" x14ac:dyDescent="0.25">
      <c r="A70" s="12"/>
      <c r="B70" s="15" t="s">
        <v>138</v>
      </c>
      <c r="C70" s="43" t="s">
        <v>56</v>
      </c>
      <c r="D70" s="17" t="s">
        <v>139</v>
      </c>
      <c r="E70" s="18">
        <f t="shared" si="0"/>
        <v>0</v>
      </c>
      <c r="F70" s="21"/>
      <c r="G70" s="21"/>
      <c r="H70" s="21"/>
      <c r="I70" s="21"/>
      <c r="J70" s="13"/>
      <c r="K70" s="19"/>
      <c r="L70" s="14"/>
    </row>
    <row r="71" spans="1:12" x14ac:dyDescent="0.25">
      <c r="A71" s="12"/>
      <c r="B71" s="15" t="s">
        <v>140</v>
      </c>
      <c r="C71" s="20" t="s">
        <v>67</v>
      </c>
      <c r="D71" s="17" t="s">
        <v>141</v>
      </c>
      <c r="E71" s="18">
        <f t="shared" si="0"/>
        <v>4.5792416666666664</v>
      </c>
      <c r="F71" s="18">
        <f>SUM(F72:F74)</f>
        <v>0</v>
      </c>
      <c r="G71" s="18">
        <f>SUM(G72:G74)</f>
        <v>4.5792416666666664</v>
      </c>
      <c r="H71" s="18">
        <f>SUM(H72:H74)</f>
        <v>0</v>
      </c>
      <c r="I71" s="18">
        <f>SUM(I72:I74)</f>
        <v>0</v>
      </c>
      <c r="J71" s="13"/>
      <c r="K71" s="19"/>
      <c r="L71" s="14"/>
    </row>
    <row r="72" spans="1:12" x14ac:dyDescent="0.25">
      <c r="A72" s="12"/>
      <c r="B72" s="22" t="s">
        <v>142</v>
      </c>
      <c r="C72" s="23"/>
      <c r="D72" s="24" t="s">
        <v>141</v>
      </c>
      <c r="E72" s="25"/>
      <c r="F72" s="25"/>
      <c r="G72" s="25"/>
      <c r="H72" s="25"/>
      <c r="I72" s="25"/>
      <c r="J72" s="13"/>
      <c r="K72" s="19"/>
      <c r="L72" s="14"/>
    </row>
    <row r="73" spans="1:12" x14ac:dyDescent="0.25">
      <c r="A73" s="30" t="s">
        <v>29</v>
      </c>
      <c r="B73" s="31" t="s">
        <v>143</v>
      </c>
      <c r="C73" s="32" t="s">
        <v>71</v>
      </c>
      <c r="D73" s="33">
        <v>1781</v>
      </c>
      <c r="E73" s="34">
        <f>SUM(F73:I73)</f>
        <v>4.5792416666666664</v>
      </c>
      <c r="F73" s="35"/>
      <c r="G73" s="35">
        <f>G35/720</f>
        <v>4.5792416666666664</v>
      </c>
      <c r="H73" s="35"/>
      <c r="I73" s="36"/>
      <c r="J73" s="13"/>
      <c r="K73" s="37" t="s">
        <v>72</v>
      </c>
      <c r="L73" s="38" t="s">
        <v>73</v>
      </c>
    </row>
    <row r="74" spans="1:12" x14ac:dyDescent="0.25">
      <c r="A74" s="12"/>
      <c r="B74" s="26"/>
      <c r="C74" s="27" t="s">
        <v>20</v>
      </c>
      <c r="D74" s="28"/>
      <c r="E74" s="28"/>
      <c r="F74" s="28"/>
      <c r="G74" s="28"/>
      <c r="H74" s="28"/>
      <c r="I74" s="29"/>
      <c r="J74" s="13"/>
      <c r="K74" s="19"/>
      <c r="L74" s="14"/>
    </row>
    <row r="75" spans="1:12" x14ac:dyDescent="0.25">
      <c r="A75" s="12"/>
      <c r="B75" s="15" t="s">
        <v>144</v>
      </c>
      <c r="C75" s="45" t="s">
        <v>75</v>
      </c>
      <c r="D75" s="17" t="s">
        <v>145</v>
      </c>
      <c r="E75" s="18">
        <f t="shared" si="0"/>
        <v>0</v>
      </c>
      <c r="F75" s="21"/>
      <c r="G75" s="21"/>
      <c r="H75" s="21"/>
      <c r="I75" s="21"/>
      <c r="J75" s="13"/>
      <c r="K75" s="19"/>
      <c r="L75" s="14"/>
    </row>
    <row r="76" spans="1:12" x14ac:dyDescent="0.25">
      <c r="A76" s="12"/>
      <c r="B76" s="15" t="s">
        <v>146</v>
      </c>
      <c r="C76" s="16" t="s">
        <v>78</v>
      </c>
      <c r="D76" s="17" t="s">
        <v>147</v>
      </c>
      <c r="E76" s="18">
        <f t="shared" si="0"/>
        <v>2.5283263888888894</v>
      </c>
      <c r="F76" s="21">
        <f>F38/720</f>
        <v>0.75020277777777788</v>
      </c>
      <c r="G76" s="21">
        <f>G38/720</f>
        <v>0.89805555555555561</v>
      </c>
      <c r="H76" s="21">
        <f>H38/720</f>
        <v>0.88006805555555589</v>
      </c>
      <c r="I76" s="21"/>
      <c r="J76" s="13"/>
      <c r="K76" s="19"/>
      <c r="L76" s="14"/>
    </row>
    <row r="77" spans="1:12" x14ac:dyDescent="0.25">
      <c r="A77" s="12"/>
      <c r="B77" s="15" t="s">
        <v>148</v>
      </c>
      <c r="C77" s="16" t="s">
        <v>81</v>
      </c>
      <c r="D77" s="17" t="s">
        <v>149</v>
      </c>
      <c r="E77" s="18">
        <f t="shared" si="0"/>
        <v>0</v>
      </c>
      <c r="F77" s="21"/>
      <c r="G77" s="21"/>
      <c r="H77" s="21"/>
      <c r="I77" s="21"/>
      <c r="J77" s="13"/>
      <c r="K77" s="19"/>
      <c r="L77" s="14"/>
    </row>
    <row r="78" spans="1:12" x14ac:dyDescent="0.25">
      <c r="A78" s="12"/>
      <c r="B78" s="15" t="s">
        <v>150</v>
      </c>
      <c r="C78" s="16" t="s">
        <v>84</v>
      </c>
      <c r="D78" s="17" t="s">
        <v>151</v>
      </c>
      <c r="E78" s="18">
        <f t="shared" si="0"/>
        <v>0</v>
      </c>
      <c r="F78" s="21"/>
      <c r="G78" s="21"/>
      <c r="H78" s="21"/>
      <c r="I78" s="21"/>
      <c r="J78" s="13"/>
      <c r="K78" s="19"/>
      <c r="L78" s="14"/>
    </row>
    <row r="79" spans="1:12" ht="22.5" x14ac:dyDescent="0.25">
      <c r="A79" s="12"/>
      <c r="B79" s="15" t="s">
        <v>152</v>
      </c>
      <c r="C79" s="16" t="s">
        <v>87</v>
      </c>
      <c r="D79" s="17" t="s">
        <v>153</v>
      </c>
      <c r="E79" s="18">
        <f t="shared" si="0"/>
        <v>0.13763333333333333</v>
      </c>
      <c r="F79" s="21">
        <f>F41/720</f>
        <v>2.6590277777777779E-2</v>
      </c>
      <c r="G79" s="21">
        <f>G41/720</f>
        <v>3.3083333333333333E-2</v>
      </c>
      <c r="H79" s="21">
        <f>H41/720</f>
        <v>1.9263888888888889E-3</v>
      </c>
      <c r="I79" s="21">
        <f>I41/720</f>
        <v>7.6033333333333328E-2</v>
      </c>
      <c r="J79" s="13"/>
      <c r="K79" s="19"/>
      <c r="L79" s="14"/>
    </row>
    <row r="80" spans="1:12" x14ac:dyDescent="0.25">
      <c r="A80" s="12"/>
      <c r="B80" s="15" t="s">
        <v>154</v>
      </c>
      <c r="C80" s="20" t="s">
        <v>155</v>
      </c>
      <c r="D80" s="17" t="s">
        <v>156</v>
      </c>
      <c r="E80" s="18">
        <f t="shared" si="0"/>
        <v>0</v>
      </c>
      <c r="F80" s="21"/>
      <c r="G80" s="21"/>
      <c r="H80" s="21"/>
      <c r="I80" s="21"/>
      <c r="J80" s="13"/>
      <c r="K80" s="19"/>
      <c r="L80" s="14"/>
    </row>
    <row r="81" spans="1:12" ht="22.5" x14ac:dyDescent="0.25">
      <c r="A81" s="12"/>
      <c r="B81" s="15" t="s">
        <v>157</v>
      </c>
      <c r="C81" s="16" t="s">
        <v>93</v>
      </c>
      <c r="D81" s="17" t="s">
        <v>158</v>
      </c>
      <c r="E81" s="18">
        <f t="shared" si="0"/>
        <v>0.32500000000000001</v>
      </c>
      <c r="F81" s="21"/>
      <c r="G81" s="21">
        <f>G43/720</f>
        <v>8.0211228460255704E-2</v>
      </c>
      <c r="H81" s="21">
        <f>H43/720</f>
        <v>0.10694830461367426</v>
      </c>
      <c r="I81" s="21">
        <f>I43/720</f>
        <v>0.13784046692607005</v>
      </c>
      <c r="J81" s="13"/>
      <c r="K81" s="19"/>
      <c r="L81" s="14"/>
    </row>
    <row r="82" spans="1:12" ht="45" x14ac:dyDescent="0.25">
      <c r="A82" s="12"/>
      <c r="B82" s="15" t="s">
        <v>159</v>
      </c>
      <c r="C82" s="40" t="s">
        <v>96</v>
      </c>
      <c r="D82" s="17" t="s">
        <v>160</v>
      </c>
      <c r="E82" s="18">
        <f t="shared" si="0"/>
        <v>-0.18736666666666668</v>
      </c>
      <c r="F82" s="18">
        <f>F79-F81</f>
        <v>2.6590277777777779E-2</v>
      </c>
      <c r="G82" s="18">
        <f>G79-G81</f>
        <v>-4.7127895126922371E-2</v>
      </c>
      <c r="H82" s="18">
        <f>H79-H81</f>
        <v>-0.10502191572478536</v>
      </c>
      <c r="I82" s="18">
        <f>I79-I81</f>
        <v>-6.1807133592736721E-2</v>
      </c>
      <c r="J82" s="13"/>
      <c r="K82" s="19"/>
      <c r="L82" s="14"/>
    </row>
    <row r="83" spans="1:12" x14ac:dyDescent="0.25">
      <c r="A83" s="12"/>
      <c r="B83" s="15" t="s">
        <v>161</v>
      </c>
      <c r="C83" s="16" t="s">
        <v>99</v>
      </c>
      <c r="D83" s="17" t="s">
        <v>162</v>
      </c>
      <c r="E83" s="18">
        <f t="shared" si="0"/>
        <v>0</v>
      </c>
      <c r="F83" s="18">
        <f>(F47+F59+F64)-(F65+F76+F77+F78+F79)</f>
        <v>0</v>
      </c>
      <c r="G83" s="18">
        <f>(G47+G59+G64)-(G65+G76+G77+G78+G79)</f>
        <v>0</v>
      </c>
      <c r="H83" s="18">
        <f>(H47+H59+H64)-(H65+H76+H77+H78+H79)</f>
        <v>0</v>
      </c>
      <c r="I83" s="18">
        <f>(I47+I59+I64)-(I65+I76+I77+I78+I79)</f>
        <v>0</v>
      </c>
      <c r="J83" s="13"/>
      <c r="K83" s="19"/>
      <c r="L83" s="14"/>
    </row>
    <row r="84" spans="1:12" x14ac:dyDescent="0.25">
      <c r="A84" s="12"/>
      <c r="B84" s="111" t="s">
        <v>163</v>
      </c>
      <c r="C84" s="112"/>
      <c r="D84" s="112"/>
      <c r="E84" s="112"/>
      <c r="F84" s="112"/>
      <c r="G84" s="112"/>
      <c r="H84" s="112"/>
      <c r="I84" s="113"/>
      <c r="J84" s="13"/>
      <c r="K84" s="19"/>
      <c r="L84" s="14"/>
    </row>
    <row r="85" spans="1:12" x14ac:dyDescent="0.25">
      <c r="A85" s="12"/>
      <c r="B85" s="15" t="s">
        <v>164</v>
      </c>
      <c r="C85" s="16" t="s">
        <v>165</v>
      </c>
      <c r="D85" s="17" t="s">
        <v>166</v>
      </c>
      <c r="E85" s="18">
        <f t="shared" si="0"/>
        <v>0</v>
      </c>
      <c r="F85" s="21"/>
      <c r="G85" s="21"/>
      <c r="H85" s="21"/>
      <c r="I85" s="21"/>
      <c r="J85" s="13"/>
      <c r="K85" s="19"/>
      <c r="L85" s="14"/>
    </row>
    <row r="86" spans="1:12" x14ac:dyDescent="0.25">
      <c r="A86" s="12"/>
      <c r="B86" s="15" t="s">
        <v>167</v>
      </c>
      <c r="C86" s="16" t="s">
        <v>168</v>
      </c>
      <c r="D86" s="17" t="s">
        <v>169</v>
      </c>
      <c r="E86" s="18">
        <f t="shared" si="0"/>
        <v>25.006</v>
      </c>
      <c r="F86" s="21"/>
      <c r="G86" s="21">
        <v>25.006</v>
      </c>
      <c r="H86" s="21"/>
      <c r="I86" s="21"/>
      <c r="J86" s="13"/>
      <c r="K86" s="19"/>
      <c r="L86" s="14"/>
    </row>
    <row r="87" spans="1:12" x14ac:dyDescent="0.25">
      <c r="A87" s="12"/>
      <c r="B87" s="15" t="s">
        <v>170</v>
      </c>
      <c r="C87" s="16" t="s">
        <v>171</v>
      </c>
      <c r="D87" s="17" t="s">
        <v>172</v>
      </c>
      <c r="E87" s="18">
        <f t="shared" si="0"/>
        <v>0</v>
      </c>
      <c r="F87" s="21"/>
      <c r="G87" s="21"/>
      <c r="H87" s="21"/>
      <c r="I87" s="21"/>
      <c r="J87" s="13"/>
      <c r="K87" s="19"/>
      <c r="L87" s="14"/>
    </row>
    <row r="88" spans="1:12" x14ac:dyDescent="0.25">
      <c r="A88" s="12"/>
      <c r="B88" s="111" t="s">
        <v>173</v>
      </c>
      <c r="C88" s="112"/>
      <c r="D88" s="112"/>
      <c r="E88" s="112"/>
      <c r="F88" s="112"/>
      <c r="G88" s="112"/>
      <c r="H88" s="112"/>
      <c r="I88" s="113"/>
      <c r="J88" s="13"/>
      <c r="K88" s="19"/>
      <c r="L88" s="14"/>
    </row>
    <row r="89" spans="1:12" x14ac:dyDescent="0.25">
      <c r="A89" s="12"/>
      <c r="B89" s="15" t="s">
        <v>174</v>
      </c>
      <c r="C89" s="16" t="s">
        <v>175</v>
      </c>
      <c r="D89" s="17" t="s">
        <v>176</v>
      </c>
      <c r="E89" s="18">
        <f t="shared" si="0"/>
        <v>0</v>
      </c>
      <c r="F89" s="18">
        <f>SUM(F90:F91)</f>
        <v>0</v>
      </c>
      <c r="G89" s="18">
        <f>SUM(G90:G91)</f>
        <v>0</v>
      </c>
      <c r="H89" s="18">
        <f>SUM(H90:H91)</f>
        <v>0</v>
      </c>
      <c r="I89" s="18">
        <f>SUM(I90:I91)</f>
        <v>0</v>
      </c>
      <c r="J89" s="13"/>
      <c r="K89" s="19"/>
      <c r="L89" s="14"/>
    </row>
    <row r="90" spans="1:12" x14ac:dyDescent="0.25">
      <c r="A90" s="2"/>
      <c r="B90" s="47" t="s">
        <v>177</v>
      </c>
      <c r="C90" s="20" t="s">
        <v>178</v>
      </c>
      <c r="D90" s="17" t="s">
        <v>179</v>
      </c>
      <c r="E90" s="18">
        <f t="shared" si="0"/>
        <v>0</v>
      </c>
      <c r="F90" s="48"/>
      <c r="G90" s="48"/>
      <c r="H90" s="48"/>
      <c r="I90" s="48"/>
      <c r="J90" s="8"/>
      <c r="K90" s="19"/>
      <c r="L90" s="1"/>
    </row>
    <row r="91" spans="1:12" x14ac:dyDescent="0.25">
      <c r="A91" s="2"/>
      <c r="B91" s="47" t="s">
        <v>180</v>
      </c>
      <c r="C91" s="20" t="s">
        <v>181</v>
      </c>
      <c r="D91" s="17" t="s">
        <v>182</v>
      </c>
      <c r="E91" s="18">
        <f t="shared" si="0"/>
        <v>0</v>
      </c>
      <c r="F91" s="49">
        <f>F94</f>
        <v>0</v>
      </c>
      <c r="G91" s="49">
        <f>G94</f>
        <v>0</v>
      </c>
      <c r="H91" s="49">
        <f>H94</f>
        <v>0</v>
      </c>
      <c r="I91" s="49">
        <f>I94</f>
        <v>0</v>
      </c>
      <c r="J91" s="8"/>
      <c r="K91" s="19"/>
      <c r="L91" s="1"/>
    </row>
    <row r="92" spans="1:12" x14ac:dyDescent="0.25">
      <c r="A92" s="2"/>
      <c r="B92" s="47" t="s">
        <v>183</v>
      </c>
      <c r="C92" s="42" t="s">
        <v>184</v>
      </c>
      <c r="D92" s="17" t="s">
        <v>185</v>
      </c>
      <c r="E92" s="18">
        <f t="shared" si="0"/>
        <v>0</v>
      </c>
      <c r="F92" s="48"/>
      <c r="G92" s="48"/>
      <c r="H92" s="48"/>
      <c r="I92" s="48"/>
      <c r="J92" s="8"/>
      <c r="K92" s="19"/>
      <c r="L92" s="1"/>
    </row>
    <row r="93" spans="1:12" ht="22.5" x14ac:dyDescent="0.25">
      <c r="A93" s="2"/>
      <c r="B93" s="47" t="s">
        <v>186</v>
      </c>
      <c r="C93" s="43" t="s">
        <v>187</v>
      </c>
      <c r="D93" s="17" t="s">
        <v>188</v>
      </c>
      <c r="E93" s="18">
        <f t="shared" si="0"/>
        <v>0</v>
      </c>
      <c r="F93" s="48"/>
      <c r="G93" s="48"/>
      <c r="H93" s="48"/>
      <c r="I93" s="48"/>
      <c r="J93" s="8"/>
      <c r="K93" s="19"/>
      <c r="L93" s="1"/>
    </row>
    <row r="94" spans="1:12" x14ac:dyDescent="0.25">
      <c r="A94" s="2"/>
      <c r="B94" s="47" t="s">
        <v>189</v>
      </c>
      <c r="C94" s="42" t="s">
        <v>190</v>
      </c>
      <c r="D94" s="17" t="s">
        <v>191</v>
      </c>
      <c r="E94" s="18">
        <f t="shared" si="0"/>
        <v>0</v>
      </c>
      <c r="F94" s="48"/>
      <c r="G94" s="48"/>
      <c r="H94" s="48"/>
      <c r="I94" s="48"/>
      <c r="J94" s="8"/>
      <c r="K94" s="19"/>
      <c r="L94" s="1"/>
    </row>
    <row r="95" spans="1:12" x14ac:dyDescent="0.25">
      <c r="A95" s="2"/>
      <c r="B95" s="47" t="s">
        <v>192</v>
      </c>
      <c r="C95" s="16" t="s">
        <v>193</v>
      </c>
      <c r="D95" s="17" t="s">
        <v>194</v>
      </c>
      <c r="E95" s="18">
        <f t="shared" si="0"/>
        <v>0</v>
      </c>
      <c r="F95" s="49">
        <f>F96+F112</f>
        <v>0</v>
      </c>
      <c r="G95" s="49">
        <f>G96+G112</f>
        <v>0</v>
      </c>
      <c r="H95" s="49">
        <f>H96+H112</f>
        <v>0</v>
      </c>
      <c r="I95" s="49">
        <f>I96+I112</f>
        <v>0</v>
      </c>
      <c r="J95" s="8"/>
      <c r="K95" s="19"/>
      <c r="L95" s="1"/>
    </row>
    <row r="96" spans="1:12" x14ac:dyDescent="0.25">
      <c r="A96" s="2"/>
      <c r="B96" s="47" t="s">
        <v>195</v>
      </c>
      <c r="C96" s="20" t="s">
        <v>196</v>
      </c>
      <c r="D96" s="17" t="s">
        <v>197</v>
      </c>
      <c r="E96" s="18">
        <f t="shared" si="0"/>
        <v>0</v>
      </c>
      <c r="F96" s="49">
        <f>F97+F98</f>
        <v>0</v>
      </c>
      <c r="G96" s="49">
        <f>G97+G98</f>
        <v>0</v>
      </c>
      <c r="H96" s="49">
        <f>H97+H98</f>
        <v>0</v>
      </c>
      <c r="I96" s="49">
        <f>I97+I98</f>
        <v>0</v>
      </c>
      <c r="J96" s="8"/>
      <c r="K96" s="19"/>
      <c r="L96" s="1"/>
    </row>
    <row r="97" spans="1:12" x14ac:dyDescent="0.25">
      <c r="A97" s="2"/>
      <c r="B97" s="47" t="s">
        <v>198</v>
      </c>
      <c r="C97" s="42" t="s">
        <v>199</v>
      </c>
      <c r="D97" s="17" t="s">
        <v>200</v>
      </c>
      <c r="E97" s="18">
        <f t="shared" si="0"/>
        <v>0</v>
      </c>
      <c r="F97" s="48"/>
      <c r="G97" s="48"/>
      <c r="H97" s="48"/>
      <c r="I97" s="48"/>
      <c r="J97" s="8"/>
      <c r="K97" s="19"/>
      <c r="L97" s="1"/>
    </row>
    <row r="98" spans="1:12" ht="22.5" x14ac:dyDescent="0.25">
      <c r="A98" s="2"/>
      <c r="B98" s="47" t="s">
        <v>201</v>
      </c>
      <c r="C98" s="42" t="s">
        <v>202</v>
      </c>
      <c r="D98" s="17" t="s">
        <v>203</v>
      </c>
      <c r="E98" s="18">
        <f t="shared" si="0"/>
        <v>0</v>
      </c>
      <c r="F98" s="49">
        <f>F99+F102+F105+F108+F109+F110+F111</f>
        <v>0</v>
      </c>
      <c r="G98" s="49">
        <f>G99+G102+G105+G108+G109+G110+G111</f>
        <v>0</v>
      </c>
      <c r="H98" s="49">
        <f>H99+H102+H105+H108+H109+H110+H111</f>
        <v>0</v>
      </c>
      <c r="I98" s="49">
        <f>I99+I102+I105+I108+I109+I110+I111</f>
        <v>0</v>
      </c>
      <c r="J98" s="8"/>
      <c r="K98" s="19"/>
      <c r="L98" s="1"/>
    </row>
    <row r="99" spans="1:12" ht="67.5" x14ac:dyDescent="0.25">
      <c r="A99" s="2"/>
      <c r="B99" s="47" t="s">
        <v>204</v>
      </c>
      <c r="C99" s="43" t="s">
        <v>205</v>
      </c>
      <c r="D99" s="17" t="s">
        <v>206</v>
      </c>
      <c r="E99" s="18">
        <f t="shared" si="0"/>
        <v>0</v>
      </c>
      <c r="F99" s="50">
        <f>F100+F101</f>
        <v>0</v>
      </c>
      <c r="G99" s="50">
        <f>G100+G101</f>
        <v>0</v>
      </c>
      <c r="H99" s="50">
        <f>H100+H101</f>
        <v>0</v>
      </c>
      <c r="I99" s="50">
        <f>I100+I101</f>
        <v>0</v>
      </c>
      <c r="J99" s="8"/>
      <c r="K99" s="19"/>
      <c r="L99" s="1"/>
    </row>
    <row r="100" spans="1:12" x14ac:dyDescent="0.25">
      <c r="A100" s="2"/>
      <c r="B100" s="47" t="s">
        <v>207</v>
      </c>
      <c r="C100" s="51" t="s">
        <v>208</v>
      </c>
      <c r="D100" s="17" t="s">
        <v>209</v>
      </c>
      <c r="E100" s="18">
        <f t="shared" si="0"/>
        <v>0</v>
      </c>
      <c r="F100" s="48"/>
      <c r="G100" s="48"/>
      <c r="H100" s="48"/>
      <c r="I100" s="48"/>
      <c r="J100" s="8"/>
      <c r="K100" s="19"/>
      <c r="L100" s="1"/>
    </row>
    <row r="101" spans="1:12" x14ac:dyDescent="0.25">
      <c r="A101" s="2"/>
      <c r="B101" s="47" t="s">
        <v>210</v>
      </c>
      <c r="C101" s="51" t="s">
        <v>211</v>
      </c>
      <c r="D101" s="17" t="s">
        <v>212</v>
      </c>
      <c r="E101" s="18">
        <f t="shared" si="0"/>
        <v>0</v>
      </c>
      <c r="F101" s="48"/>
      <c r="G101" s="48"/>
      <c r="H101" s="48"/>
      <c r="I101" s="48"/>
      <c r="J101" s="8"/>
      <c r="K101" s="19"/>
      <c r="L101" s="1"/>
    </row>
    <row r="102" spans="1:12" ht="67.5" x14ac:dyDescent="0.25">
      <c r="A102" s="2"/>
      <c r="B102" s="47" t="s">
        <v>213</v>
      </c>
      <c r="C102" s="43" t="s">
        <v>214</v>
      </c>
      <c r="D102" s="17" t="s">
        <v>215</v>
      </c>
      <c r="E102" s="18">
        <f t="shared" si="0"/>
        <v>0</v>
      </c>
      <c r="F102" s="50">
        <f>F103+F104</f>
        <v>0</v>
      </c>
      <c r="G102" s="50">
        <f>G103+G104</f>
        <v>0</v>
      </c>
      <c r="H102" s="50">
        <f>H103+H104</f>
        <v>0</v>
      </c>
      <c r="I102" s="50">
        <f>I103+I104</f>
        <v>0</v>
      </c>
      <c r="J102" s="8"/>
      <c r="K102" s="19"/>
      <c r="L102" s="1"/>
    </row>
    <row r="103" spans="1:12" x14ac:dyDescent="0.25">
      <c r="A103" s="2"/>
      <c r="B103" s="47" t="s">
        <v>216</v>
      </c>
      <c r="C103" s="51" t="s">
        <v>208</v>
      </c>
      <c r="D103" s="17" t="s">
        <v>217</v>
      </c>
      <c r="E103" s="18">
        <f t="shared" si="0"/>
        <v>0</v>
      </c>
      <c r="F103" s="48"/>
      <c r="G103" s="48"/>
      <c r="H103" s="48"/>
      <c r="I103" s="48"/>
      <c r="J103" s="8"/>
      <c r="K103" s="19"/>
      <c r="L103" s="1"/>
    </row>
    <row r="104" spans="1:12" x14ac:dyDescent="0.25">
      <c r="A104" s="2"/>
      <c r="B104" s="47" t="s">
        <v>218</v>
      </c>
      <c r="C104" s="51" t="s">
        <v>211</v>
      </c>
      <c r="D104" s="17" t="s">
        <v>219</v>
      </c>
      <c r="E104" s="18">
        <f t="shared" si="0"/>
        <v>0</v>
      </c>
      <c r="F104" s="48"/>
      <c r="G104" s="48"/>
      <c r="H104" s="48"/>
      <c r="I104" s="48"/>
      <c r="J104" s="8"/>
      <c r="K104" s="19"/>
      <c r="L104" s="1"/>
    </row>
    <row r="105" spans="1:12" ht="33.75" x14ac:dyDescent="0.25">
      <c r="A105" s="2"/>
      <c r="B105" s="47" t="s">
        <v>220</v>
      </c>
      <c r="C105" s="43" t="s">
        <v>221</v>
      </c>
      <c r="D105" s="17" t="s">
        <v>222</v>
      </c>
      <c r="E105" s="18">
        <f t="shared" si="0"/>
        <v>0</v>
      </c>
      <c r="F105" s="50">
        <f>F106+F107</f>
        <v>0</v>
      </c>
      <c r="G105" s="50">
        <f>G106+G107</f>
        <v>0</v>
      </c>
      <c r="H105" s="50">
        <f>H106+H107</f>
        <v>0</v>
      </c>
      <c r="I105" s="50">
        <f>I106+I107</f>
        <v>0</v>
      </c>
      <c r="J105" s="8"/>
      <c r="K105" s="19"/>
      <c r="L105" s="1"/>
    </row>
    <row r="106" spans="1:12" x14ac:dyDescent="0.25">
      <c r="A106" s="2"/>
      <c r="B106" s="47" t="s">
        <v>223</v>
      </c>
      <c r="C106" s="51" t="s">
        <v>208</v>
      </c>
      <c r="D106" s="17" t="s">
        <v>224</v>
      </c>
      <c r="E106" s="18">
        <f t="shared" si="0"/>
        <v>0</v>
      </c>
      <c r="F106" s="48"/>
      <c r="G106" s="48"/>
      <c r="H106" s="48"/>
      <c r="I106" s="48"/>
      <c r="J106" s="8"/>
      <c r="K106" s="19"/>
      <c r="L106" s="1"/>
    </row>
    <row r="107" spans="1:12" x14ac:dyDescent="0.25">
      <c r="A107" s="2"/>
      <c r="B107" s="47" t="s">
        <v>225</v>
      </c>
      <c r="C107" s="51" t="s">
        <v>211</v>
      </c>
      <c r="D107" s="17" t="s">
        <v>226</v>
      </c>
      <c r="E107" s="18">
        <f t="shared" si="0"/>
        <v>0</v>
      </c>
      <c r="F107" s="48"/>
      <c r="G107" s="48"/>
      <c r="H107" s="48"/>
      <c r="I107" s="48"/>
      <c r="J107" s="8"/>
      <c r="K107" s="19"/>
      <c r="L107" s="1"/>
    </row>
    <row r="108" spans="1:12" ht="22.5" x14ac:dyDescent="0.25">
      <c r="A108" s="2"/>
      <c r="B108" s="47" t="s">
        <v>227</v>
      </c>
      <c r="C108" s="43" t="s">
        <v>228</v>
      </c>
      <c r="D108" s="17" t="s">
        <v>229</v>
      </c>
      <c r="E108" s="18">
        <f t="shared" si="0"/>
        <v>0</v>
      </c>
      <c r="F108" s="48"/>
      <c r="G108" s="48"/>
      <c r="H108" s="48"/>
      <c r="I108" s="48"/>
      <c r="J108" s="8"/>
      <c r="K108" s="19"/>
      <c r="L108" s="1"/>
    </row>
    <row r="109" spans="1:12" x14ac:dyDescent="0.25">
      <c r="A109" s="2"/>
      <c r="B109" s="47" t="s">
        <v>230</v>
      </c>
      <c r="C109" s="43" t="s">
        <v>231</v>
      </c>
      <c r="D109" s="17" t="s">
        <v>232</v>
      </c>
      <c r="E109" s="18">
        <f t="shared" si="0"/>
        <v>0</v>
      </c>
      <c r="F109" s="48"/>
      <c r="G109" s="48"/>
      <c r="H109" s="48"/>
      <c r="I109" s="48"/>
      <c r="J109" s="8"/>
      <c r="K109" s="19"/>
      <c r="L109" s="1"/>
    </row>
    <row r="110" spans="1:12" ht="67.5" x14ac:dyDescent="0.25">
      <c r="A110" s="2"/>
      <c r="B110" s="47" t="s">
        <v>233</v>
      </c>
      <c r="C110" s="43" t="s">
        <v>234</v>
      </c>
      <c r="D110" s="17" t="s">
        <v>235</v>
      </c>
      <c r="E110" s="18">
        <f t="shared" si="0"/>
        <v>0</v>
      </c>
      <c r="F110" s="48"/>
      <c r="G110" s="48"/>
      <c r="H110" s="48"/>
      <c r="I110" s="48"/>
      <c r="J110" s="8"/>
      <c r="K110" s="19"/>
      <c r="L110" s="1"/>
    </row>
    <row r="111" spans="1:12" ht="33.75" x14ac:dyDescent="0.25">
      <c r="A111" s="2"/>
      <c r="B111" s="47" t="s">
        <v>236</v>
      </c>
      <c r="C111" s="43" t="s">
        <v>237</v>
      </c>
      <c r="D111" s="17" t="s">
        <v>238</v>
      </c>
      <c r="E111" s="18">
        <f t="shared" si="0"/>
        <v>0</v>
      </c>
      <c r="F111" s="48"/>
      <c r="G111" s="48"/>
      <c r="H111" s="48"/>
      <c r="I111" s="48"/>
      <c r="J111" s="8"/>
      <c r="K111" s="19"/>
      <c r="L111" s="1"/>
    </row>
    <row r="112" spans="1:12" x14ac:dyDescent="0.25">
      <c r="A112" s="2"/>
      <c r="B112" s="47" t="s">
        <v>239</v>
      </c>
      <c r="C112" s="20" t="s">
        <v>240</v>
      </c>
      <c r="D112" s="17" t="s">
        <v>241</v>
      </c>
      <c r="E112" s="18">
        <f t="shared" si="0"/>
        <v>0</v>
      </c>
      <c r="F112" s="49">
        <f>F115</f>
        <v>0</v>
      </c>
      <c r="G112" s="49">
        <f>G115</f>
        <v>0</v>
      </c>
      <c r="H112" s="49">
        <f>H115</f>
        <v>0</v>
      </c>
      <c r="I112" s="49">
        <f>I115</f>
        <v>0</v>
      </c>
      <c r="J112" s="8"/>
      <c r="K112" s="19"/>
      <c r="L112" s="1"/>
    </row>
    <row r="113" spans="1:12" x14ac:dyDescent="0.25">
      <c r="A113" s="2"/>
      <c r="B113" s="47" t="s">
        <v>242</v>
      </c>
      <c r="C113" s="42" t="s">
        <v>184</v>
      </c>
      <c r="D113" s="17" t="s">
        <v>243</v>
      </c>
      <c r="E113" s="18">
        <f t="shared" si="0"/>
        <v>0</v>
      </c>
      <c r="F113" s="48"/>
      <c r="G113" s="48"/>
      <c r="H113" s="48"/>
      <c r="I113" s="48"/>
      <c r="J113" s="8"/>
      <c r="K113" s="19"/>
      <c r="L113" s="1"/>
    </row>
    <row r="114" spans="1:12" ht="22.5" x14ac:dyDescent="0.25">
      <c r="A114" s="2"/>
      <c r="B114" s="47" t="s">
        <v>244</v>
      </c>
      <c r="C114" s="43" t="s">
        <v>245</v>
      </c>
      <c r="D114" s="17" t="s">
        <v>246</v>
      </c>
      <c r="E114" s="18">
        <f t="shared" si="0"/>
        <v>0</v>
      </c>
      <c r="F114" s="48"/>
      <c r="G114" s="48"/>
      <c r="H114" s="48"/>
      <c r="I114" s="48"/>
      <c r="J114" s="8"/>
      <c r="K114" s="19"/>
      <c r="L114" s="1"/>
    </row>
    <row r="115" spans="1:12" x14ac:dyDescent="0.25">
      <c r="A115" s="2"/>
      <c r="B115" s="47" t="s">
        <v>247</v>
      </c>
      <c r="C115" s="42" t="s">
        <v>190</v>
      </c>
      <c r="D115" s="17" t="s">
        <v>248</v>
      </c>
      <c r="E115" s="18">
        <f t="shared" si="0"/>
        <v>0</v>
      </c>
      <c r="F115" s="48"/>
      <c r="G115" s="48"/>
      <c r="H115" s="48"/>
      <c r="I115" s="48"/>
      <c r="J115" s="8"/>
      <c r="K115" s="19"/>
      <c r="L115" s="1"/>
    </row>
    <row r="116" spans="1:12" ht="22.5" x14ac:dyDescent="0.25">
      <c r="A116" s="2"/>
      <c r="B116" s="47" t="s">
        <v>249</v>
      </c>
      <c r="C116" s="40" t="s">
        <v>250</v>
      </c>
      <c r="D116" s="17" t="s">
        <v>251</v>
      </c>
      <c r="E116" s="18">
        <f t="shared" si="0"/>
        <v>5355.1669999999995</v>
      </c>
      <c r="F116" s="49">
        <f>SUM(F117:F118)</f>
        <v>19.145</v>
      </c>
      <c r="G116" s="49">
        <f>SUM(G117:G118)</f>
        <v>4040.63</v>
      </c>
      <c r="H116" s="49">
        <f>SUM(H117:H118)</f>
        <v>716.48699999999997</v>
      </c>
      <c r="I116" s="49">
        <f>SUM(I117:I118)</f>
        <v>578.90499999999997</v>
      </c>
      <c r="J116" s="8"/>
      <c r="K116" s="19"/>
      <c r="L116" s="1"/>
    </row>
    <row r="117" spans="1:12" x14ac:dyDescent="0.25">
      <c r="A117" s="2"/>
      <c r="B117" s="47" t="s">
        <v>252</v>
      </c>
      <c r="C117" s="20" t="s">
        <v>178</v>
      </c>
      <c r="D117" s="17" t="s">
        <v>253</v>
      </c>
      <c r="E117" s="18">
        <f t="shared" si="0"/>
        <v>0</v>
      </c>
      <c r="F117" s="48"/>
      <c r="G117" s="48"/>
      <c r="H117" s="48"/>
      <c r="I117" s="48"/>
      <c r="J117" s="8"/>
      <c r="K117" s="19"/>
      <c r="L117" s="1"/>
    </row>
    <row r="118" spans="1:12" x14ac:dyDescent="0.25">
      <c r="A118" s="2"/>
      <c r="B118" s="47" t="s">
        <v>254</v>
      </c>
      <c r="C118" s="20" t="s">
        <v>181</v>
      </c>
      <c r="D118" s="17" t="s">
        <v>255</v>
      </c>
      <c r="E118" s="18">
        <f t="shared" si="0"/>
        <v>5355.1669999999995</v>
      </c>
      <c r="F118" s="49">
        <f>F120</f>
        <v>19.145</v>
      </c>
      <c r="G118" s="49">
        <f>G120</f>
        <v>4040.63</v>
      </c>
      <c r="H118" s="49">
        <f>H120</f>
        <v>716.48699999999997</v>
      </c>
      <c r="I118" s="49">
        <f>I120</f>
        <v>578.90499999999997</v>
      </c>
      <c r="J118" s="8"/>
      <c r="K118" s="19"/>
      <c r="L118" s="1"/>
    </row>
    <row r="119" spans="1:12" x14ac:dyDescent="0.25">
      <c r="A119" s="2"/>
      <c r="B119" s="47" t="s">
        <v>256</v>
      </c>
      <c r="C119" s="42" t="s">
        <v>257</v>
      </c>
      <c r="D119" s="17" t="s">
        <v>258</v>
      </c>
      <c r="E119" s="18">
        <f t="shared" si="0"/>
        <v>25.006</v>
      </c>
      <c r="F119" s="48"/>
      <c r="G119" s="48">
        <f>G86</f>
        <v>25.006</v>
      </c>
      <c r="H119" s="48"/>
      <c r="I119" s="48"/>
      <c r="J119" s="8"/>
      <c r="K119" s="19"/>
      <c r="L119" s="1"/>
    </row>
    <row r="120" spans="1:12" x14ac:dyDescent="0.25">
      <c r="A120" s="2"/>
      <c r="B120" s="47" t="s">
        <v>259</v>
      </c>
      <c r="C120" s="42" t="s">
        <v>190</v>
      </c>
      <c r="D120" s="17" t="s">
        <v>260</v>
      </c>
      <c r="E120" s="18">
        <f t="shared" si="0"/>
        <v>5355.1669999999995</v>
      </c>
      <c r="F120" s="48">
        <f>F41</f>
        <v>19.145</v>
      </c>
      <c r="G120" s="48">
        <f>G27-F41+E41</f>
        <v>4040.63</v>
      </c>
      <c r="H120" s="48">
        <f>H27</f>
        <v>716.48699999999997</v>
      </c>
      <c r="I120" s="48">
        <f>I27</f>
        <v>578.90499999999997</v>
      </c>
      <c r="J120" s="8"/>
      <c r="K120" s="19"/>
      <c r="L120" s="1"/>
    </row>
    <row r="121" spans="1:12" x14ac:dyDescent="0.25">
      <c r="A121" s="2"/>
      <c r="B121" s="111" t="s">
        <v>261</v>
      </c>
      <c r="C121" s="112"/>
      <c r="D121" s="112"/>
      <c r="E121" s="112"/>
      <c r="F121" s="112"/>
      <c r="G121" s="112"/>
      <c r="H121" s="112"/>
      <c r="I121" s="113"/>
      <c r="J121" s="8"/>
      <c r="K121" s="19"/>
      <c r="L121" s="1"/>
    </row>
    <row r="122" spans="1:12" ht="33.75" x14ac:dyDescent="0.25">
      <c r="A122" s="2"/>
      <c r="B122" s="47" t="s">
        <v>262</v>
      </c>
      <c r="C122" s="16" t="s">
        <v>263</v>
      </c>
      <c r="D122" s="17" t="s">
        <v>264</v>
      </c>
      <c r="E122" s="18">
        <f t="shared" si="0"/>
        <v>0</v>
      </c>
      <c r="F122" s="49">
        <f>SUM( F123:F124)</f>
        <v>0</v>
      </c>
      <c r="G122" s="49">
        <f>SUM( G123:G124)</f>
        <v>0</v>
      </c>
      <c r="H122" s="49">
        <f>SUM( H123:H124)</f>
        <v>0</v>
      </c>
      <c r="I122" s="49">
        <f>SUM( I123:I124)</f>
        <v>0</v>
      </c>
      <c r="J122" s="8"/>
      <c r="K122" s="19"/>
      <c r="L122" s="1"/>
    </row>
    <row r="123" spans="1:12" x14ac:dyDescent="0.25">
      <c r="A123" s="2"/>
      <c r="B123" s="47" t="s">
        <v>265</v>
      </c>
      <c r="C123" s="20" t="s">
        <v>178</v>
      </c>
      <c r="D123" s="17" t="s">
        <v>266</v>
      </c>
      <c r="E123" s="18">
        <f t="shared" si="0"/>
        <v>0</v>
      </c>
      <c r="F123" s="48"/>
      <c r="G123" s="48"/>
      <c r="H123" s="48"/>
      <c r="I123" s="48"/>
      <c r="J123" s="8"/>
      <c r="K123" s="19"/>
      <c r="L123" s="1"/>
    </row>
    <row r="124" spans="1:12" x14ac:dyDescent="0.25">
      <c r="A124" s="2"/>
      <c r="B124" s="47" t="s">
        <v>267</v>
      </c>
      <c r="C124" s="20" t="s">
        <v>181</v>
      </c>
      <c r="D124" s="17" t="s">
        <v>268</v>
      </c>
      <c r="E124" s="18">
        <f t="shared" si="0"/>
        <v>0</v>
      </c>
      <c r="F124" s="49">
        <f>F125+F127</f>
        <v>0</v>
      </c>
      <c r="G124" s="49">
        <f>G125+G127</f>
        <v>0</v>
      </c>
      <c r="H124" s="49">
        <f>H125+H127</f>
        <v>0</v>
      </c>
      <c r="I124" s="49">
        <f>I125+I127</f>
        <v>0</v>
      </c>
      <c r="J124" s="8"/>
      <c r="K124" s="19"/>
      <c r="L124" s="1"/>
    </row>
    <row r="125" spans="1:12" x14ac:dyDescent="0.25">
      <c r="A125" s="2"/>
      <c r="B125" s="47" t="s">
        <v>269</v>
      </c>
      <c r="C125" s="42" t="s">
        <v>270</v>
      </c>
      <c r="D125" s="17" t="s">
        <v>271</v>
      </c>
      <c r="E125" s="18">
        <f t="shared" si="0"/>
        <v>0</v>
      </c>
      <c r="F125" s="48"/>
      <c r="G125" s="48"/>
      <c r="H125" s="48"/>
      <c r="I125" s="48"/>
      <c r="J125" s="8"/>
      <c r="K125" s="19"/>
      <c r="L125" s="1"/>
    </row>
    <row r="126" spans="1:12" x14ac:dyDescent="0.25">
      <c r="A126" s="2"/>
      <c r="B126" s="47" t="s">
        <v>272</v>
      </c>
      <c r="C126" s="43" t="s">
        <v>273</v>
      </c>
      <c r="D126" s="17" t="s">
        <v>274</v>
      </c>
      <c r="E126" s="18">
        <f t="shared" si="0"/>
        <v>0</v>
      </c>
      <c r="F126" s="48"/>
      <c r="G126" s="48"/>
      <c r="H126" s="48"/>
      <c r="I126" s="48"/>
      <c r="J126" s="8"/>
      <c r="K126" s="19"/>
      <c r="L126" s="1"/>
    </row>
    <row r="127" spans="1:12" x14ac:dyDescent="0.25">
      <c r="A127" s="2"/>
      <c r="B127" s="47" t="s">
        <v>275</v>
      </c>
      <c r="C127" s="42" t="s">
        <v>276</v>
      </c>
      <c r="D127" s="17" t="s">
        <v>277</v>
      </c>
      <c r="E127" s="18">
        <f t="shared" si="0"/>
        <v>0</v>
      </c>
      <c r="F127" s="48"/>
      <c r="G127" s="48"/>
      <c r="H127" s="48"/>
      <c r="I127" s="48"/>
      <c r="J127" s="8"/>
      <c r="K127" s="19"/>
      <c r="L127" s="1"/>
    </row>
    <row r="128" spans="1:12" x14ac:dyDescent="0.25">
      <c r="A128" s="2"/>
      <c r="B128" s="47" t="s">
        <v>19</v>
      </c>
      <c r="C128" s="16" t="s">
        <v>278</v>
      </c>
      <c r="D128" s="17" t="s">
        <v>279</v>
      </c>
      <c r="E128" s="18">
        <f t="shared" si="0"/>
        <v>0</v>
      </c>
      <c r="F128" s="50">
        <f>SUM( F129+F134)</f>
        <v>0</v>
      </c>
      <c r="G128" s="50">
        <f>SUM( G129+G134)</f>
        <v>0</v>
      </c>
      <c r="H128" s="50">
        <f>SUM( H129+H134)</f>
        <v>0</v>
      </c>
      <c r="I128" s="50">
        <f>SUM( I129+I134)</f>
        <v>0</v>
      </c>
      <c r="J128" s="52"/>
      <c r="K128" s="19"/>
      <c r="L128" s="1"/>
    </row>
    <row r="129" spans="1:12" x14ac:dyDescent="0.25">
      <c r="A129" s="2"/>
      <c r="B129" s="47" t="s">
        <v>280</v>
      </c>
      <c r="C129" s="20" t="s">
        <v>178</v>
      </c>
      <c r="D129" s="17" t="s">
        <v>281</v>
      </c>
      <c r="E129" s="18">
        <f t="shared" ref="E129:E142" si="1">SUM(F129:I129)</f>
        <v>0</v>
      </c>
      <c r="F129" s="50">
        <f>SUM( F130:F131)</f>
        <v>0</v>
      </c>
      <c r="G129" s="50">
        <f>SUM( G130:G131)</f>
        <v>0</v>
      </c>
      <c r="H129" s="50">
        <f>SUM( H130:H131)</f>
        <v>0</v>
      </c>
      <c r="I129" s="50">
        <f>SUM( I130:I131)</f>
        <v>0</v>
      </c>
      <c r="J129" s="52"/>
      <c r="K129" s="19"/>
      <c r="L129" s="1"/>
    </row>
    <row r="130" spans="1:12" x14ac:dyDescent="0.25">
      <c r="A130" s="2"/>
      <c r="B130" s="47" t="s">
        <v>282</v>
      </c>
      <c r="C130" s="42" t="s">
        <v>199</v>
      </c>
      <c r="D130" s="17" t="s">
        <v>283</v>
      </c>
      <c r="E130" s="18">
        <f t="shared" si="1"/>
        <v>0</v>
      </c>
      <c r="F130" s="53"/>
      <c r="G130" s="53"/>
      <c r="H130" s="53"/>
      <c r="I130" s="53"/>
      <c r="J130" s="52"/>
      <c r="K130" s="19"/>
      <c r="L130" s="1"/>
    </row>
    <row r="131" spans="1:12" ht="22.5" x14ac:dyDescent="0.25">
      <c r="A131" s="2"/>
      <c r="B131" s="47" t="s">
        <v>284</v>
      </c>
      <c r="C131" s="42" t="s">
        <v>202</v>
      </c>
      <c r="D131" s="17" t="s">
        <v>285</v>
      </c>
      <c r="E131" s="18">
        <f t="shared" si="1"/>
        <v>0</v>
      </c>
      <c r="F131" s="50">
        <f>F132+F133</f>
        <v>0</v>
      </c>
      <c r="G131" s="50">
        <f>G132+G133</f>
        <v>0</v>
      </c>
      <c r="H131" s="50">
        <f>H132+H133</f>
        <v>0</v>
      </c>
      <c r="I131" s="50">
        <f>I132+I133</f>
        <v>0</v>
      </c>
      <c r="J131" s="52"/>
      <c r="K131" s="19"/>
      <c r="L131" s="1"/>
    </row>
    <row r="132" spans="1:12" x14ac:dyDescent="0.25">
      <c r="A132" s="2"/>
      <c r="B132" s="47" t="s">
        <v>286</v>
      </c>
      <c r="C132" s="43" t="s">
        <v>208</v>
      </c>
      <c r="D132" s="17" t="s">
        <v>287</v>
      </c>
      <c r="E132" s="18">
        <f t="shared" si="1"/>
        <v>0</v>
      </c>
      <c r="F132" s="53"/>
      <c r="G132" s="53"/>
      <c r="H132" s="53"/>
      <c r="I132" s="53"/>
      <c r="J132" s="52"/>
      <c r="K132" s="19"/>
      <c r="L132" s="1"/>
    </row>
    <row r="133" spans="1:12" x14ac:dyDescent="0.25">
      <c r="A133" s="2"/>
      <c r="B133" s="47" t="s">
        <v>288</v>
      </c>
      <c r="C133" s="43" t="s">
        <v>289</v>
      </c>
      <c r="D133" s="17" t="s">
        <v>290</v>
      </c>
      <c r="E133" s="18">
        <f t="shared" si="1"/>
        <v>0</v>
      </c>
      <c r="F133" s="53"/>
      <c r="G133" s="53"/>
      <c r="H133" s="53"/>
      <c r="I133" s="53"/>
      <c r="J133" s="52"/>
      <c r="K133" s="19"/>
      <c r="L133" s="1"/>
    </row>
    <row r="134" spans="1:12" x14ac:dyDescent="0.25">
      <c r="A134" s="2"/>
      <c r="B134" s="47" t="s">
        <v>291</v>
      </c>
      <c r="C134" s="20" t="s">
        <v>240</v>
      </c>
      <c r="D134" s="17" t="s">
        <v>292</v>
      </c>
      <c r="E134" s="18">
        <f t="shared" si="1"/>
        <v>0</v>
      </c>
      <c r="F134" s="50">
        <f>F135+F137</f>
        <v>0</v>
      </c>
      <c r="G134" s="50">
        <f>G135+G137</f>
        <v>0</v>
      </c>
      <c r="H134" s="50">
        <f>H135+H137</f>
        <v>0</v>
      </c>
      <c r="I134" s="50">
        <f>I135+I137</f>
        <v>0</v>
      </c>
      <c r="J134" s="52"/>
      <c r="K134" s="19"/>
      <c r="L134" s="1"/>
    </row>
    <row r="135" spans="1:12" x14ac:dyDescent="0.25">
      <c r="A135" s="2"/>
      <c r="B135" s="47" t="s">
        <v>293</v>
      </c>
      <c r="C135" s="42" t="s">
        <v>270</v>
      </c>
      <c r="D135" s="17" t="s">
        <v>294</v>
      </c>
      <c r="E135" s="18">
        <f t="shared" si="1"/>
        <v>0</v>
      </c>
      <c r="F135" s="48"/>
      <c r="G135" s="48"/>
      <c r="H135" s="48"/>
      <c r="I135" s="48"/>
      <c r="J135" s="52"/>
      <c r="K135" s="19"/>
      <c r="L135" s="1"/>
    </row>
    <row r="136" spans="1:12" x14ac:dyDescent="0.25">
      <c r="A136" s="2"/>
      <c r="B136" s="47" t="s">
        <v>295</v>
      </c>
      <c r="C136" s="43" t="s">
        <v>273</v>
      </c>
      <c r="D136" s="17" t="s">
        <v>296</v>
      </c>
      <c r="E136" s="18">
        <f t="shared" si="1"/>
        <v>0</v>
      </c>
      <c r="F136" s="48"/>
      <c r="G136" s="48"/>
      <c r="H136" s="48"/>
      <c r="I136" s="48"/>
      <c r="J136" s="52"/>
      <c r="K136" s="19"/>
      <c r="L136" s="1"/>
    </row>
    <row r="137" spans="1:12" x14ac:dyDescent="0.25">
      <c r="A137" s="2"/>
      <c r="B137" s="47" t="s">
        <v>297</v>
      </c>
      <c r="C137" s="42" t="s">
        <v>276</v>
      </c>
      <c r="D137" s="17" t="s">
        <v>298</v>
      </c>
      <c r="E137" s="18">
        <f t="shared" si="1"/>
        <v>0</v>
      </c>
      <c r="F137" s="54"/>
      <c r="G137" s="54"/>
      <c r="H137" s="54"/>
      <c r="I137" s="54"/>
      <c r="J137" s="52"/>
      <c r="K137" s="19"/>
      <c r="L137" s="1"/>
    </row>
    <row r="138" spans="1:12" ht="22.5" x14ac:dyDescent="0.25">
      <c r="A138" s="2"/>
      <c r="B138" s="47" t="s">
        <v>299</v>
      </c>
      <c r="C138" s="16" t="s">
        <v>300</v>
      </c>
      <c r="D138" s="17" t="s">
        <v>301</v>
      </c>
      <c r="E138" s="18">
        <f t="shared" si="1"/>
        <v>3562.0231194719995</v>
      </c>
      <c r="F138" s="55">
        <f>SUM( F139:F140)</f>
        <v>2.0423886000000002</v>
      </c>
      <c r="G138" s="55">
        <f>SUM( G139:G140)</f>
        <v>3421.7883123119996</v>
      </c>
      <c r="H138" s="55">
        <f>SUM( H139:H140)</f>
        <v>76.434833159999997</v>
      </c>
      <c r="I138" s="55">
        <f>SUM( I139:I140)</f>
        <v>61.757585399999996</v>
      </c>
      <c r="J138" s="52"/>
      <c r="K138" s="19"/>
      <c r="L138" s="1"/>
    </row>
    <row r="139" spans="1:12" x14ac:dyDescent="0.25">
      <c r="A139" s="2"/>
      <c r="B139" s="47" t="s">
        <v>302</v>
      </c>
      <c r="C139" s="20" t="s">
        <v>178</v>
      </c>
      <c r="D139" s="17" t="s">
        <v>303</v>
      </c>
      <c r="E139" s="18">
        <f t="shared" si="1"/>
        <v>0</v>
      </c>
      <c r="F139" s="54"/>
      <c r="G139" s="54"/>
      <c r="H139" s="54"/>
      <c r="I139" s="54"/>
      <c r="J139" s="52"/>
      <c r="K139" s="19"/>
      <c r="L139" s="1"/>
    </row>
    <row r="140" spans="1:12" x14ac:dyDescent="0.25">
      <c r="A140" s="2"/>
      <c r="B140" s="47" t="s">
        <v>304</v>
      </c>
      <c r="C140" s="20" t="s">
        <v>181</v>
      </c>
      <c r="D140" s="17" t="s">
        <v>305</v>
      </c>
      <c r="E140" s="18">
        <f t="shared" si="1"/>
        <v>3562.0231194719995</v>
      </c>
      <c r="F140" s="55">
        <f>F141+F142</f>
        <v>2.0423886000000002</v>
      </c>
      <c r="G140" s="55">
        <f>G141+G142</f>
        <v>3421.7883123119996</v>
      </c>
      <c r="H140" s="55">
        <f>H141+H142</f>
        <v>76.434833159999997</v>
      </c>
      <c r="I140" s="55">
        <f>I141+I142</f>
        <v>61.757585399999996</v>
      </c>
      <c r="J140" s="52"/>
      <c r="K140" s="19"/>
      <c r="L140" s="1"/>
    </row>
    <row r="141" spans="1:12" x14ac:dyDescent="0.25">
      <c r="A141" s="2"/>
      <c r="B141" s="47" t="s">
        <v>306</v>
      </c>
      <c r="C141" s="42" t="s">
        <v>307</v>
      </c>
      <c r="D141" s="17" t="s">
        <v>308</v>
      </c>
      <c r="E141" s="18">
        <f t="shared" si="1"/>
        <v>2990.7339039119997</v>
      </c>
      <c r="F141" s="54"/>
      <c r="G141" s="54">
        <f>G119*99667.21/1000*1.2</f>
        <v>2990.7339039119997</v>
      </c>
      <c r="H141" s="54"/>
      <c r="I141" s="54"/>
      <c r="J141" s="52"/>
      <c r="K141" s="19"/>
      <c r="L141" s="1"/>
    </row>
    <row r="142" spans="1:12" x14ac:dyDescent="0.25">
      <c r="A142" s="2"/>
      <c r="B142" s="47" t="s">
        <v>309</v>
      </c>
      <c r="C142" s="42" t="s">
        <v>276</v>
      </c>
      <c r="D142" s="17" t="s">
        <v>310</v>
      </c>
      <c r="E142" s="18">
        <f t="shared" si="1"/>
        <v>571.28921556</v>
      </c>
      <c r="F142" s="54">
        <f>F120*88.9/1000*1.2</f>
        <v>2.0423886000000002</v>
      </c>
      <c r="G142" s="54">
        <f>G120*88.9/1000*1.2</f>
        <v>431.0544084</v>
      </c>
      <c r="H142" s="54">
        <f>H120*88.9/1000*1.2</f>
        <v>76.434833159999997</v>
      </c>
      <c r="I142" s="54">
        <f>I120*88.9/1000*1.2</f>
        <v>61.757585399999996</v>
      </c>
      <c r="J142" s="52"/>
      <c r="K142" s="19"/>
      <c r="L142" s="1"/>
    </row>
    <row r="143" spans="1:12" x14ac:dyDescent="0.25">
      <c r="A143" s="1"/>
      <c r="B143" s="6"/>
      <c r="C143" s="56"/>
      <c r="D143" s="56"/>
      <c r="E143" s="56"/>
      <c r="F143" s="56"/>
      <c r="G143" s="56"/>
      <c r="H143" s="56"/>
      <c r="I143" s="57"/>
      <c r="J143" s="57"/>
      <c r="K143" s="57"/>
      <c r="L143" s="57"/>
    </row>
    <row r="144" spans="1:12" x14ac:dyDescent="0.25">
      <c r="A144" s="1"/>
      <c r="B144" s="1"/>
      <c r="C144" s="19" t="s">
        <v>311</v>
      </c>
      <c r="D144" s="103" t="s">
        <v>322</v>
      </c>
      <c r="E144" s="103"/>
      <c r="F144" s="58"/>
      <c r="G144" s="103" t="s">
        <v>323</v>
      </c>
      <c r="H144" s="103"/>
      <c r="I144" s="103"/>
      <c r="J144" s="58"/>
      <c r="K144" s="59"/>
      <c r="L144" s="59"/>
    </row>
    <row r="145" spans="1:12" x14ac:dyDescent="0.25">
      <c r="A145" s="1"/>
      <c r="B145" s="1"/>
      <c r="C145" s="60" t="s">
        <v>312</v>
      </c>
      <c r="D145" s="102" t="s">
        <v>313</v>
      </c>
      <c r="E145" s="102"/>
      <c r="F145" s="61"/>
      <c r="G145" s="102" t="s">
        <v>314</v>
      </c>
      <c r="H145" s="102"/>
      <c r="I145" s="102"/>
      <c r="J145" s="61"/>
      <c r="K145" s="102" t="s">
        <v>315</v>
      </c>
      <c r="L145" s="102"/>
    </row>
    <row r="146" spans="1:12" x14ac:dyDescent="0.25">
      <c r="A146" s="1"/>
      <c r="B146" s="1"/>
      <c r="C146" s="60" t="s">
        <v>316</v>
      </c>
      <c r="D146" s="19"/>
      <c r="E146" s="19"/>
      <c r="F146" s="19"/>
      <c r="G146" s="19"/>
      <c r="H146" s="19"/>
      <c r="I146" s="19"/>
      <c r="J146" s="19"/>
      <c r="K146" s="19"/>
      <c r="L146" s="19"/>
    </row>
    <row r="147" spans="1:12" x14ac:dyDescent="0.25">
      <c r="A147" s="1"/>
      <c r="B147" s="1"/>
      <c r="C147" s="60" t="s">
        <v>317</v>
      </c>
      <c r="D147" s="103" t="s">
        <v>324</v>
      </c>
      <c r="E147" s="103"/>
      <c r="F147" s="103"/>
      <c r="G147" s="19"/>
      <c r="H147" s="60" t="s">
        <v>318</v>
      </c>
      <c r="I147" s="62"/>
      <c r="J147" s="19"/>
      <c r="K147" s="19"/>
      <c r="L147" s="19"/>
    </row>
    <row r="148" spans="1:12" x14ac:dyDescent="0.25">
      <c r="A148" s="1"/>
      <c r="B148" s="1"/>
      <c r="C148" s="19" t="s">
        <v>319</v>
      </c>
      <c r="D148" s="104" t="s">
        <v>320</v>
      </c>
      <c r="E148" s="104"/>
      <c r="F148" s="104"/>
      <c r="G148" s="19"/>
      <c r="H148" s="63" t="s">
        <v>321</v>
      </c>
      <c r="I148" s="63"/>
      <c r="J148" s="19"/>
      <c r="K148" s="19"/>
      <c r="L148" s="19"/>
    </row>
    <row r="149" spans="1:12" x14ac:dyDescent="0.25">
      <c r="A149" s="1"/>
      <c r="B149" s="1"/>
      <c r="C149" s="57"/>
      <c r="D149" s="57"/>
      <c r="E149" s="57"/>
      <c r="F149" s="57"/>
      <c r="G149" s="57"/>
      <c r="H149" s="57"/>
      <c r="I149" s="57"/>
      <c r="J149" s="57"/>
      <c r="K149" s="57"/>
      <c r="L149" s="57"/>
    </row>
  </sheetData>
  <mergeCells count="18">
    <mergeCell ref="F5:I5"/>
    <mergeCell ref="B8:I8"/>
    <mergeCell ref="B46:I46"/>
    <mergeCell ref="B84:I84"/>
    <mergeCell ref="B2:C2"/>
    <mergeCell ref="B5:B6"/>
    <mergeCell ref="C5:C6"/>
    <mergeCell ref="D5:D6"/>
    <mergeCell ref="E5:E6"/>
    <mergeCell ref="K145:L145"/>
    <mergeCell ref="D147:F147"/>
    <mergeCell ref="D148:F148"/>
    <mergeCell ref="B88:I88"/>
    <mergeCell ref="B121:I121"/>
    <mergeCell ref="D144:E144"/>
    <mergeCell ref="G144:I144"/>
    <mergeCell ref="D145:E145"/>
    <mergeCell ref="G145:I145"/>
  </mergeCells>
  <dataValidations count="2">
    <dataValidation allowBlank="1" showInputMessage="1" promptTitle="Ввод" prompt="Для выбора организации необходимо два раза нажать левую клавишу мыши!" sqref="C19 C35 C57 C73"/>
    <dataValidation type="decimal" allowBlank="1" showErrorMessage="1" errorTitle="Ошибка" error="Допускается ввод только действительных чисел!" sqref="E17:I19 E85:I87 E9:I12 E47:I50 E75:I83 E89:I120 E55:I57 E37:I45 E21:I35 E122:I142 E52:I53 E14:I15 E59:I73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3"/>
  <sheetViews>
    <sheetView topLeftCell="C124" workbookViewId="0">
      <selection activeCell="M156" sqref="M15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2.8554687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" t="s">
        <v>7</v>
      </c>
      <c r="I12" s="9" t="s">
        <v>8</v>
      </c>
      <c r="J12" s="9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4662.2609999999995</v>
      </c>
      <c r="H15" s="18">
        <f>H16+H17+H20+H23</f>
        <v>685.24</v>
      </c>
      <c r="I15" s="18">
        <f>I16+I17+I20+I23</f>
        <v>3799.8119999999999</v>
      </c>
      <c r="J15" s="18">
        <f>J16+J17+J20+J23</f>
        <v>177.209</v>
      </c>
      <c r="K15" s="18">
        <f>K16+K17+K20+K23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4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</v>
      </c>
      <c r="H17" s="18">
        <f>SUM(H18:H19)</f>
        <v>0</v>
      </c>
      <c r="I17" s="18">
        <f>SUM(I18:I19)</f>
        <v>0</v>
      </c>
      <c r="J17" s="18">
        <f>SUM(J18:J19)</f>
        <v>0</v>
      </c>
      <c r="K17" s="18">
        <f>SUM(K18:K19)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2.75" x14ac:dyDescent="0.2">
      <c r="C19" s="12"/>
      <c r="D19" s="26"/>
      <c r="E19" s="27" t="s">
        <v>20</v>
      </c>
      <c r="F19" s="28"/>
      <c r="G19" s="28"/>
      <c r="H19" s="28"/>
      <c r="I19" s="28"/>
      <c r="J19" s="28"/>
      <c r="K19" s="29"/>
      <c r="L19" s="13"/>
      <c r="M19" s="19"/>
      <c r="P19" s="92"/>
    </row>
    <row r="20" spans="3:16" s="14" customFormat="1" ht="12.75" x14ac:dyDescent="0.2">
      <c r="C20" s="12"/>
      <c r="D20" s="15" t="s">
        <v>21</v>
      </c>
      <c r="E20" s="20" t="s">
        <v>22</v>
      </c>
      <c r="F20" s="17" t="s">
        <v>23</v>
      </c>
      <c r="G20" s="18">
        <f t="shared" si="0"/>
        <v>0</v>
      </c>
      <c r="H20" s="18">
        <f>SUM(H21:H22)</f>
        <v>0</v>
      </c>
      <c r="I20" s="18">
        <f>SUM(I21:I22)</f>
        <v>0</v>
      </c>
      <c r="J20" s="18">
        <f>SUM(J21:J22)</f>
        <v>0</v>
      </c>
      <c r="K20" s="18">
        <f>SUM(K21:K22)</f>
        <v>0</v>
      </c>
      <c r="L20" s="13"/>
      <c r="M20" s="19"/>
      <c r="P20" s="92"/>
    </row>
    <row r="21" spans="3:16" s="14" customFormat="1" ht="12.75" x14ac:dyDescent="0.2">
      <c r="C21" s="12"/>
      <c r="D21" s="22" t="s">
        <v>24</v>
      </c>
      <c r="E21" s="23"/>
      <c r="F21" s="24" t="s">
        <v>23</v>
      </c>
      <c r="G21" s="25"/>
      <c r="H21" s="25"/>
      <c r="I21" s="25"/>
      <c r="J21" s="25"/>
      <c r="K21" s="25"/>
      <c r="L21" s="13"/>
      <c r="M21" s="19"/>
      <c r="P21" s="91"/>
    </row>
    <row r="22" spans="3:16" s="14" customFormat="1" ht="12.75" x14ac:dyDescent="0.2">
      <c r="C22" s="12"/>
      <c r="D22" s="26"/>
      <c r="E22" s="27" t="s">
        <v>20</v>
      </c>
      <c r="F22" s="28"/>
      <c r="G22" s="28"/>
      <c r="H22" s="28"/>
      <c r="I22" s="28"/>
      <c r="J22" s="28"/>
      <c r="K22" s="29"/>
      <c r="L22" s="13"/>
      <c r="M22" s="19"/>
      <c r="P22" s="92"/>
    </row>
    <row r="23" spans="3:16" s="14" customFormat="1" ht="12.75" x14ac:dyDescent="0.2">
      <c r="C23" s="12"/>
      <c r="D23" s="15" t="s">
        <v>25</v>
      </c>
      <c r="E23" s="20" t="s">
        <v>26</v>
      </c>
      <c r="F23" s="17" t="s">
        <v>27</v>
      </c>
      <c r="G23" s="18">
        <f t="shared" si="0"/>
        <v>4662.2609999999995</v>
      </c>
      <c r="H23" s="18">
        <f>SUM(H24:H26)</f>
        <v>685.24</v>
      </c>
      <c r="I23" s="18">
        <f>SUM(I24:I26)</f>
        <v>3799.8119999999999</v>
      </c>
      <c r="J23" s="18">
        <f>SUM(J24:J26)</f>
        <v>177.209</v>
      </c>
      <c r="K23" s="18">
        <f>SUM(K24:K26)</f>
        <v>0</v>
      </c>
      <c r="L23" s="13"/>
      <c r="M23" s="19"/>
      <c r="P23" s="91">
        <v>40</v>
      </c>
    </row>
    <row r="24" spans="3:16" s="14" customFormat="1" ht="12.75" x14ac:dyDescent="0.2">
      <c r="C24" s="12"/>
      <c r="D24" s="22" t="s">
        <v>28</v>
      </c>
      <c r="E24" s="23"/>
      <c r="F24" s="24" t="s">
        <v>27</v>
      </c>
      <c r="G24" s="25"/>
      <c r="H24" s="25"/>
      <c r="I24" s="25"/>
      <c r="J24" s="25"/>
      <c r="K24" s="25"/>
      <c r="L24" s="13"/>
      <c r="M24" s="19"/>
      <c r="P24" s="91"/>
    </row>
    <row r="25" spans="3:16" s="14" customFormat="1" ht="15" x14ac:dyDescent="0.25">
      <c r="C25" s="30" t="s">
        <v>29</v>
      </c>
      <c r="D25" s="31" t="s">
        <v>30</v>
      </c>
      <c r="E25" s="32" t="s">
        <v>31</v>
      </c>
      <c r="F25" s="33">
        <v>431</v>
      </c>
      <c r="G25" s="34">
        <f>SUM(H25:K25)</f>
        <v>4662.2609999999995</v>
      </c>
      <c r="H25" s="35">
        <v>685.24</v>
      </c>
      <c r="I25" s="35">
        <v>3799.8119999999999</v>
      </c>
      <c r="J25" s="35">
        <v>177.209</v>
      </c>
      <c r="K25" s="36"/>
      <c r="L25" s="13"/>
      <c r="M25" s="37" t="s">
        <v>32</v>
      </c>
      <c r="N25" s="38" t="s">
        <v>33</v>
      </c>
      <c r="O25" s="38" t="s">
        <v>336</v>
      </c>
    </row>
    <row r="26" spans="3:16" s="14" customFormat="1" ht="12.75" x14ac:dyDescent="0.2">
      <c r="C26" s="12"/>
      <c r="D26" s="26"/>
      <c r="E26" s="27" t="s">
        <v>20</v>
      </c>
      <c r="F26" s="28"/>
      <c r="G26" s="28"/>
      <c r="H26" s="28"/>
      <c r="I26" s="28"/>
      <c r="J26" s="28"/>
      <c r="K26" s="29"/>
      <c r="L26" s="13"/>
      <c r="M26" s="19"/>
      <c r="P26" s="91"/>
    </row>
    <row r="27" spans="3:16" s="14" customFormat="1" ht="12.75" x14ac:dyDescent="0.2">
      <c r="C27" s="12"/>
      <c r="D27" s="15" t="s">
        <v>34</v>
      </c>
      <c r="E27" s="16" t="s">
        <v>35</v>
      </c>
      <c r="F27" s="17" t="s">
        <v>36</v>
      </c>
      <c r="G27" s="18">
        <f t="shared" si="0"/>
        <v>1886.7369999999999</v>
      </c>
      <c r="H27" s="18">
        <f>H29+H30+H31</f>
        <v>0</v>
      </c>
      <c r="I27" s="18">
        <f>I28+I30+I31</f>
        <v>0</v>
      </c>
      <c r="J27" s="18">
        <f>J28+J29+J31</f>
        <v>1310.4169999999999</v>
      </c>
      <c r="K27" s="18">
        <f>K28+K29+K30</f>
        <v>576.31999999999994</v>
      </c>
      <c r="L27" s="13"/>
      <c r="M27" s="19"/>
      <c r="P27" s="91">
        <v>50</v>
      </c>
    </row>
    <row r="28" spans="3:16" s="14" customFormat="1" ht="12.75" x14ac:dyDescent="0.2">
      <c r="C28" s="12"/>
      <c r="D28" s="15" t="s">
        <v>37</v>
      </c>
      <c r="E28" s="20" t="s">
        <v>7</v>
      </c>
      <c r="F28" s="17" t="s">
        <v>38</v>
      </c>
      <c r="G28" s="18">
        <f t="shared" si="0"/>
        <v>659.24400000000003</v>
      </c>
      <c r="H28" s="39"/>
      <c r="I28" s="21"/>
      <c r="J28" s="21">
        <f>H44</f>
        <v>659.24400000000003</v>
      </c>
      <c r="K28" s="21"/>
      <c r="L28" s="13"/>
      <c r="M28" s="19"/>
      <c r="P28" s="91">
        <v>60</v>
      </c>
    </row>
    <row r="29" spans="3:16" s="14" customFormat="1" ht="12.75" x14ac:dyDescent="0.2">
      <c r="C29" s="12"/>
      <c r="D29" s="15" t="s">
        <v>39</v>
      </c>
      <c r="E29" s="20" t="s">
        <v>8</v>
      </c>
      <c r="F29" s="17" t="s">
        <v>40</v>
      </c>
      <c r="G29" s="18">
        <f t="shared" si="0"/>
        <v>651.17299999999977</v>
      </c>
      <c r="H29" s="21"/>
      <c r="I29" s="39"/>
      <c r="J29" s="21">
        <f>I25-I33-I47</f>
        <v>651.17299999999977</v>
      </c>
      <c r="K29" s="21"/>
      <c r="L29" s="13"/>
      <c r="M29" s="19"/>
      <c r="P29" s="91">
        <v>70</v>
      </c>
    </row>
    <row r="30" spans="3:16" s="14" customFormat="1" ht="12.75" x14ac:dyDescent="0.2">
      <c r="C30" s="12"/>
      <c r="D30" s="15" t="s">
        <v>41</v>
      </c>
      <c r="E30" s="20" t="s">
        <v>9</v>
      </c>
      <c r="F30" s="17" t="s">
        <v>42</v>
      </c>
      <c r="G30" s="18">
        <f t="shared" si="0"/>
        <v>576.31999999999994</v>
      </c>
      <c r="H30" s="21"/>
      <c r="I30" s="21"/>
      <c r="J30" s="39"/>
      <c r="K30" s="21">
        <f>J23+J27-J47-J33</f>
        <v>576.31999999999994</v>
      </c>
      <c r="L30" s="13"/>
      <c r="M30" s="19"/>
      <c r="P30" s="91">
        <v>80</v>
      </c>
    </row>
    <row r="31" spans="3:16" s="14" customFormat="1" ht="12.75" x14ac:dyDescent="0.2">
      <c r="C31" s="12"/>
      <c r="D31" s="15" t="s">
        <v>43</v>
      </c>
      <c r="E31" s="20" t="s">
        <v>44</v>
      </c>
      <c r="F31" s="17" t="s">
        <v>45</v>
      </c>
      <c r="G31" s="18">
        <f t="shared" si="0"/>
        <v>0</v>
      </c>
      <c r="H31" s="21"/>
      <c r="I31" s="21"/>
      <c r="J31" s="21"/>
      <c r="K31" s="39"/>
      <c r="L31" s="13"/>
      <c r="M31" s="19"/>
      <c r="P31" s="91">
        <v>90</v>
      </c>
    </row>
    <row r="32" spans="3:16" s="14" customFormat="1" ht="12.75" x14ac:dyDescent="0.2">
      <c r="C32" s="12"/>
      <c r="D32" s="15" t="s">
        <v>46</v>
      </c>
      <c r="E32" s="40" t="s">
        <v>47</v>
      </c>
      <c r="F32" s="17" t="s">
        <v>48</v>
      </c>
      <c r="G32" s="18">
        <f t="shared" si="0"/>
        <v>0</v>
      </c>
      <c r="H32" s="21"/>
      <c r="I32" s="21"/>
      <c r="J32" s="21"/>
      <c r="K32" s="21"/>
      <c r="L32" s="13"/>
      <c r="M32" s="19"/>
      <c r="P32" s="91"/>
    </row>
    <row r="33" spans="3:16" s="14" customFormat="1" ht="12.75" x14ac:dyDescent="0.2">
      <c r="C33" s="12"/>
      <c r="D33" s="15" t="s">
        <v>49</v>
      </c>
      <c r="E33" s="16" t="s">
        <v>50</v>
      </c>
      <c r="F33" s="41" t="s">
        <v>51</v>
      </c>
      <c r="G33" s="18">
        <f t="shared" si="0"/>
        <v>4527.2089999999998</v>
      </c>
      <c r="H33" s="18">
        <f>H34+H36+H39+H43</f>
        <v>0</v>
      </c>
      <c r="I33" s="18">
        <f>I34+I36+I39+I43</f>
        <v>3137.6190000000001</v>
      </c>
      <c r="J33" s="18">
        <f>J34+J36+J39+J43</f>
        <v>859.61300000000006</v>
      </c>
      <c r="K33" s="18">
        <f>K34+K36+K39+K43</f>
        <v>529.97699999999998</v>
      </c>
      <c r="L33" s="13"/>
      <c r="M33" s="19"/>
      <c r="P33" s="91">
        <v>100</v>
      </c>
    </row>
    <row r="34" spans="3:16" s="14" customFormat="1" ht="22.5" x14ac:dyDescent="0.2">
      <c r="C34" s="12"/>
      <c r="D34" s="15" t="s">
        <v>52</v>
      </c>
      <c r="E34" s="20" t="s">
        <v>53</v>
      </c>
      <c r="F34" s="17" t="s">
        <v>54</v>
      </c>
      <c r="G34" s="18">
        <f t="shared" si="0"/>
        <v>0</v>
      </c>
      <c r="H34" s="21"/>
      <c r="I34" s="21"/>
      <c r="J34" s="21"/>
      <c r="K34" s="21"/>
      <c r="L34" s="13"/>
      <c r="M34" s="19"/>
      <c r="P34" s="91"/>
    </row>
    <row r="35" spans="3:16" s="14" customFormat="1" ht="12.75" x14ac:dyDescent="0.2">
      <c r="C35" s="12"/>
      <c r="D35" s="15" t="s">
        <v>55</v>
      </c>
      <c r="E35" s="42" t="s">
        <v>56</v>
      </c>
      <c r="F35" s="17" t="s">
        <v>57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58</v>
      </c>
      <c r="E36" s="20" t="s">
        <v>59</v>
      </c>
      <c r="F36" s="17" t="s">
        <v>60</v>
      </c>
      <c r="G36" s="18">
        <f t="shared" si="0"/>
        <v>2077.8050000000003</v>
      </c>
      <c r="H36" s="21">
        <v>0</v>
      </c>
      <c r="I36" s="21">
        <f>3137.619-I41</f>
        <v>688.21500000000015</v>
      </c>
      <c r="J36" s="21">
        <v>859.61300000000006</v>
      </c>
      <c r="K36" s="21">
        <v>529.97699999999998</v>
      </c>
      <c r="L36" s="13"/>
      <c r="M36" s="19"/>
      <c r="P36" s="91"/>
    </row>
    <row r="37" spans="3:16" s="14" customFormat="1" ht="12.75" x14ac:dyDescent="0.2">
      <c r="C37" s="12"/>
      <c r="D37" s="15" t="s">
        <v>61</v>
      </c>
      <c r="E37" s="42" t="s">
        <v>62</v>
      </c>
      <c r="F37" s="17" t="s">
        <v>63</v>
      </c>
      <c r="G37" s="18">
        <f t="shared" si="0"/>
        <v>0</v>
      </c>
      <c r="H37" s="21"/>
      <c r="I37" s="21"/>
      <c r="J37" s="21"/>
      <c r="K37" s="21"/>
      <c r="L37" s="13"/>
      <c r="M37" s="19"/>
      <c r="P37" s="91"/>
    </row>
    <row r="38" spans="3:16" s="14" customFormat="1" ht="22.5" x14ac:dyDescent="0.2">
      <c r="C38" s="12"/>
      <c r="D38" s="15" t="s">
        <v>64</v>
      </c>
      <c r="E38" s="43" t="s">
        <v>56</v>
      </c>
      <c r="F38" s="17" t="s">
        <v>65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66</v>
      </c>
      <c r="E39" s="20" t="s">
        <v>67</v>
      </c>
      <c r="F39" s="17" t="s">
        <v>68</v>
      </c>
      <c r="G39" s="18">
        <f t="shared" si="0"/>
        <v>2449.404</v>
      </c>
      <c r="H39" s="18">
        <f>SUM(H40:H42)</f>
        <v>0</v>
      </c>
      <c r="I39" s="18">
        <f>SUM(I40:I42)</f>
        <v>2449.404</v>
      </c>
      <c r="J39" s="18">
        <f>SUM(J40:J42)</f>
        <v>0</v>
      </c>
      <c r="K39" s="18">
        <f>SUM(K40:K42)</f>
        <v>0</v>
      </c>
      <c r="L39" s="13"/>
      <c r="M39" s="19"/>
      <c r="P39" s="91"/>
    </row>
    <row r="40" spans="3:16" s="14" customFormat="1" ht="12.75" x14ac:dyDescent="0.2">
      <c r="C40" s="12"/>
      <c r="D40" s="22" t="s">
        <v>69</v>
      </c>
      <c r="E40" s="23"/>
      <c r="F40" s="24" t="s">
        <v>68</v>
      </c>
      <c r="G40" s="25"/>
      <c r="H40" s="25"/>
      <c r="I40" s="25"/>
      <c r="J40" s="25"/>
      <c r="K40" s="25"/>
      <c r="L40" s="13"/>
      <c r="M40" s="19"/>
      <c r="P40" s="91"/>
    </row>
    <row r="41" spans="3:16" s="14" customFormat="1" ht="15" x14ac:dyDescent="0.25">
      <c r="C41" s="30" t="s">
        <v>29</v>
      </c>
      <c r="D41" s="31" t="s">
        <v>70</v>
      </c>
      <c r="E41" s="32" t="s">
        <v>71</v>
      </c>
      <c r="F41" s="33">
        <v>751</v>
      </c>
      <c r="G41" s="34">
        <f>SUM(H41:K41)</f>
        <v>2449.404</v>
      </c>
      <c r="H41" s="35"/>
      <c r="I41" s="35">
        <v>2449.404</v>
      </c>
      <c r="J41" s="35"/>
      <c r="K41" s="36"/>
      <c r="L41" s="13"/>
      <c r="M41" s="37" t="s">
        <v>72</v>
      </c>
      <c r="N41" s="38" t="s">
        <v>73</v>
      </c>
      <c r="O41" s="38" t="s">
        <v>337</v>
      </c>
    </row>
    <row r="42" spans="3:16" s="14" customFormat="1" ht="12.75" x14ac:dyDescent="0.2">
      <c r="C42" s="12"/>
      <c r="D42" s="44"/>
      <c r="E42" s="27" t="s">
        <v>20</v>
      </c>
      <c r="F42" s="28"/>
      <c r="G42" s="28"/>
      <c r="H42" s="28"/>
      <c r="I42" s="28"/>
      <c r="J42" s="28"/>
      <c r="K42" s="29"/>
      <c r="L42" s="13"/>
      <c r="M42" s="19"/>
      <c r="P42" s="91"/>
    </row>
    <row r="43" spans="3:16" s="14" customFormat="1" ht="12.75" x14ac:dyDescent="0.2">
      <c r="C43" s="12"/>
      <c r="D43" s="15" t="s">
        <v>74</v>
      </c>
      <c r="E43" s="45" t="s">
        <v>75</v>
      </c>
      <c r="F43" s="17" t="s">
        <v>76</v>
      </c>
      <c r="G43" s="18">
        <f t="shared" si="0"/>
        <v>0</v>
      </c>
      <c r="H43" s="21"/>
      <c r="I43" s="21"/>
      <c r="J43" s="21"/>
      <c r="K43" s="21"/>
      <c r="L43" s="13"/>
      <c r="M43" s="19"/>
      <c r="P43" s="91">
        <v>120</v>
      </c>
    </row>
    <row r="44" spans="3:16" s="14" customFormat="1" ht="12.75" x14ac:dyDescent="0.2">
      <c r="C44" s="12"/>
      <c r="D44" s="15" t="s">
        <v>77</v>
      </c>
      <c r="E44" s="16" t="s">
        <v>78</v>
      </c>
      <c r="F44" s="17" t="s">
        <v>79</v>
      </c>
      <c r="G44" s="18">
        <f t="shared" si="0"/>
        <v>1886.7369999999999</v>
      </c>
      <c r="H44" s="21">
        <f>H25-H47</f>
        <v>659.24400000000003</v>
      </c>
      <c r="I44" s="21">
        <f>I15-I33-I47</f>
        <v>651.17299999999977</v>
      </c>
      <c r="J44" s="21">
        <f>J23+J27-J33-J47</f>
        <v>576.31999999999994</v>
      </c>
      <c r="K44" s="21">
        <f>K30-K33-K47</f>
        <v>0</v>
      </c>
      <c r="L44" s="13"/>
      <c r="M44" s="19"/>
      <c r="P44" s="91">
        <v>150</v>
      </c>
    </row>
    <row r="45" spans="3:16" s="14" customFormat="1" ht="12.75" x14ac:dyDescent="0.2">
      <c r="C45" s="12"/>
      <c r="D45" s="15" t="s">
        <v>80</v>
      </c>
      <c r="E45" s="16" t="s">
        <v>81</v>
      </c>
      <c r="F45" s="17" t="s">
        <v>82</v>
      </c>
      <c r="G45" s="18">
        <f t="shared" si="0"/>
        <v>0</v>
      </c>
      <c r="H45" s="21"/>
      <c r="I45" s="21"/>
      <c r="J45" s="21"/>
      <c r="K45" s="21"/>
      <c r="L45" s="13"/>
      <c r="M45" s="19"/>
      <c r="P45" s="91">
        <v>160</v>
      </c>
    </row>
    <row r="46" spans="3:16" s="14" customFormat="1" ht="12.75" x14ac:dyDescent="0.2">
      <c r="C46" s="12"/>
      <c r="D46" s="15" t="s">
        <v>83</v>
      </c>
      <c r="E46" s="16" t="s">
        <v>84</v>
      </c>
      <c r="F46" s="17" t="s">
        <v>85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180</v>
      </c>
    </row>
    <row r="47" spans="3:16" s="14" customFormat="1" ht="12.75" x14ac:dyDescent="0.2">
      <c r="C47" s="12"/>
      <c r="D47" s="15" t="s">
        <v>86</v>
      </c>
      <c r="E47" s="16" t="s">
        <v>87</v>
      </c>
      <c r="F47" s="17" t="s">
        <v>88</v>
      </c>
      <c r="G47" s="18">
        <f t="shared" si="0"/>
        <v>135.05200000000002</v>
      </c>
      <c r="H47" s="21">
        <v>25.995999999999999</v>
      </c>
      <c r="I47" s="21">
        <v>11.02</v>
      </c>
      <c r="J47" s="21">
        <v>51.692999999999998</v>
      </c>
      <c r="K47" s="21">
        <v>46.343000000000004</v>
      </c>
      <c r="L47" s="13"/>
      <c r="M47" s="19"/>
      <c r="P47" s="91">
        <v>190</v>
      </c>
    </row>
    <row r="48" spans="3:16" s="14" customFormat="1" ht="12.75" x14ac:dyDescent="0.2">
      <c r="C48" s="12"/>
      <c r="D48" s="15" t="s">
        <v>89</v>
      </c>
      <c r="E48" s="20" t="s">
        <v>90</v>
      </c>
      <c r="F48" s="17" t="s">
        <v>91</v>
      </c>
      <c r="G48" s="18">
        <f t="shared" si="0"/>
        <v>0</v>
      </c>
      <c r="H48" s="21"/>
      <c r="I48" s="21"/>
      <c r="J48" s="21"/>
      <c r="K48" s="21"/>
      <c r="L48" s="13"/>
      <c r="M48" s="19"/>
      <c r="P48" s="91">
        <v>200</v>
      </c>
    </row>
    <row r="49" spans="3:16" s="14" customFormat="1" ht="22.5" x14ac:dyDescent="0.2">
      <c r="C49" s="12"/>
      <c r="D49" s="15" t="s">
        <v>92</v>
      </c>
      <c r="E49" s="16" t="s">
        <v>93</v>
      </c>
      <c r="F49" s="17" t="s">
        <v>94</v>
      </c>
      <c r="G49" s="18">
        <f t="shared" si="0"/>
        <v>226</v>
      </c>
      <c r="H49" s="21"/>
      <c r="I49" s="21">
        <f>226*0.2468</f>
        <v>55.776800000000001</v>
      </c>
      <c r="J49" s="21">
        <f>226*0.3293</f>
        <v>74.42179999999999</v>
      </c>
      <c r="K49" s="21">
        <f>226*0.4239</f>
        <v>95.801400000000001</v>
      </c>
      <c r="L49" s="13"/>
      <c r="M49" s="19"/>
      <c r="P49" s="92"/>
    </row>
    <row r="50" spans="3:16" s="14" customFormat="1" ht="33.75" x14ac:dyDescent="0.2">
      <c r="C50" s="12"/>
      <c r="D50" s="15" t="s">
        <v>95</v>
      </c>
      <c r="E50" s="40" t="s">
        <v>96</v>
      </c>
      <c r="F50" s="17" t="s">
        <v>97</v>
      </c>
      <c r="G50" s="18">
        <f t="shared" si="0"/>
        <v>-90.947999999999993</v>
      </c>
      <c r="H50" s="18">
        <f>H47-H49</f>
        <v>25.995999999999999</v>
      </c>
      <c r="I50" s="18">
        <f>I47-I49</f>
        <v>-44.756799999999998</v>
      </c>
      <c r="J50" s="18">
        <f>J47-J49</f>
        <v>-22.728799999999993</v>
      </c>
      <c r="K50" s="18">
        <f>K47-K49</f>
        <v>-49.458399999999997</v>
      </c>
      <c r="L50" s="13"/>
      <c r="M50" s="19"/>
      <c r="P50" s="92"/>
    </row>
    <row r="51" spans="3:16" s="14" customFormat="1" ht="12.75" x14ac:dyDescent="0.2">
      <c r="C51" s="12"/>
      <c r="D51" s="15" t="s">
        <v>98</v>
      </c>
      <c r="E51" s="16" t="s">
        <v>99</v>
      </c>
      <c r="F51" s="17" t="s">
        <v>100</v>
      </c>
      <c r="G51" s="18">
        <f t="shared" si="0"/>
        <v>0</v>
      </c>
      <c r="H51" s="18">
        <f>(H15+H27+H32)-(H33+H44+H45+H46+H47)</f>
        <v>0</v>
      </c>
      <c r="I51" s="18">
        <f>(I15+I27+I32)-(I33+I44+I45+I46+I47)</f>
        <v>0</v>
      </c>
      <c r="J51" s="18">
        <f>(J15+J27+J32)-(J33+J44+J45+J46+J47)</f>
        <v>0</v>
      </c>
      <c r="K51" s="18">
        <f>(K15+K27+K32)-(K33+K44+K45+K46+K47)</f>
        <v>0</v>
      </c>
      <c r="L51" s="13"/>
      <c r="M51" s="19"/>
      <c r="P51" s="91">
        <v>210</v>
      </c>
    </row>
    <row r="52" spans="3:16" s="14" customFormat="1" ht="12.75" x14ac:dyDescent="0.2">
      <c r="C52" s="12"/>
      <c r="D52" s="111" t="s">
        <v>101</v>
      </c>
      <c r="E52" s="112"/>
      <c r="F52" s="112"/>
      <c r="G52" s="112"/>
      <c r="H52" s="112"/>
      <c r="I52" s="112"/>
      <c r="J52" s="112"/>
      <c r="K52" s="113"/>
      <c r="L52" s="13"/>
      <c r="M52" s="19"/>
      <c r="P52" s="92"/>
    </row>
    <row r="53" spans="3:16" s="14" customFormat="1" ht="12.75" x14ac:dyDescent="0.2">
      <c r="C53" s="12"/>
      <c r="D53" s="15" t="s">
        <v>102</v>
      </c>
      <c r="E53" s="16" t="s">
        <v>13</v>
      </c>
      <c r="F53" s="17" t="s">
        <v>103</v>
      </c>
      <c r="G53" s="18">
        <f t="shared" si="0"/>
        <v>6.2664798387096763</v>
      </c>
      <c r="H53" s="18">
        <f>H54+H55+H58+H61</f>
        <v>0.92102150537634409</v>
      </c>
      <c r="I53" s="18">
        <f>I54+I55+I58+I61</f>
        <v>5.1072741935483865</v>
      </c>
      <c r="J53" s="18">
        <f>J54+J55+J58+J61</f>
        <v>0.23818413978494624</v>
      </c>
      <c r="K53" s="18">
        <f>K54+K55+K58+K61</f>
        <v>0</v>
      </c>
      <c r="L53" s="13"/>
      <c r="M53" s="19"/>
      <c r="P53" s="91">
        <v>300</v>
      </c>
    </row>
    <row r="54" spans="3:16" s="14" customFormat="1" ht="12.75" x14ac:dyDescent="0.2">
      <c r="C54" s="12"/>
      <c r="D54" s="15" t="s">
        <v>104</v>
      </c>
      <c r="E54" s="20" t="s">
        <v>15</v>
      </c>
      <c r="F54" s="17" t="s">
        <v>105</v>
      </c>
      <c r="G54" s="18">
        <f t="shared" si="0"/>
        <v>0</v>
      </c>
      <c r="H54" s="21"/>
      <c r="I54" s="21"/>
      <c r="J54" s="21"/>
      <c r="K54" s="21"/>
      <c r="L54" s="13"/>
      <c r="M54" s="19"/>
      <c r="P54" s="91">
        <v>310</v>
      </c>
    </row>
    <row r="55" spans="3:16" s="14" customFormat="1" ht="12.75" x14ac:dyDescent="0.2">
      <c r="C55" s="12"/>
      <c r="D55" s="15" t="s">
        <v>106</v>
      </c>
      <c r="E55" s="20" t="s">
        <v>17</v>
      </c>
      <c r="F55" s="17" t="s">
        <v>107</v>
      </c>
      <c r="G55" s="18">
        <f t="shared" si="0"/>
        <v>0</v>
      </c>
      <c r="H55" s="18">
        <f>SUM(H56:H57)</f>
        <v>0</v>
      </c>
      <c r="I55" s="18">
        <f>SUM(I56:I57)</f>
        <v>0</v>
      </c>
      <c r="J55" s="18">
        <f>SUM(J56:J57)</f>
        <v>0</v>
      </c>
      <c r="K55" s="18">
        <f>SUM(K56:K57)</f>
        <v>0</v>
      </c>
      <c r="L55" s="13"/>
      <c r="M55" s="19"/>
      <c r="P55" s="91">
        <v>320</v>
      </c>
    </row>
    <row r="56" spans="3:16" s="14" customFormat="1" ht="12.75" x14ac:dyDescent="0.2">
      <c r="C56" s="12"/>
      <c r="D56" s="22" t="s">
        <v>108</v>
      </c>
      <c r="E56" s="23"/>
      <c r="F56" s="24" t="s">
        <v>107</v>
      </c>
      <c r="G56" s="25"/>
      <c r="H56" s="25"/>
      <c r="I56" s="25"/>
      <c r="J56" s="25"/>
      <c r="K56" s="25"/>
      <c r="L56" s="13"/>
      <c r="M56" s="19"/>
      <c r="P56" s="91"/>
    </row>
    <row r="57" spans="3:16" s="14" customFormat="1" ht="12.75" x14ac:dyDescent="0.2">
      <c r="C57" s="12"/>
      <c r="D57" s="26"/>
      <c r="E57" s="27" t="s">
        <v>20</v>
      </c>
      <c r="F57" s="28"/>
      <c r="G57" s="28"/>
      <c r="H57" s="28"/>
      <c r="I57" s="28"/>
      <c r="J57" s="28"/>
      <c r="K57" s="29"/>
      <c r="L57" s="13"/>
      <c r="M57" s="19"/>
      <c r="P57" s="91"/>
    </row>
    <row r="58" spans="3:16" s="14" customFormat="1" ht="12.75" x14ac:dyDescent="0.2">
      <c r="C58" s="12"/>
      <c r="D58" s="15" t="s">
        <v>109</v>
      </c>
      <c r="E58" s="20" t="s">
        <v>22</v>
      </c>
      <c r="F58" s="17" t="s">
        <v>110</v>
      </c>
      <c r="G58" s="18">
        <f t="shared" si="0"/>
        <v>0</v>
      </c>
      <c r="H58" s="18">
        <f>SUM(H59:H60)</f>
        <v>0</v>
      </c>
      <c r="I58" s="18">
        <f>SUM(I59:I60)</f>
        <v>0</v>
      </c>
      <c r="J58" s="18">
        <f>SUM(J59:J60)</f>
        <v>0</v>
      </c>
      <c r="K58" s="18">
        <f>SUM(K59:K60)</f>
        <v>0</v>
      </c>
      <c r="L58" s="13"/>
      <c r="M58" s="19"/>
      <c r="P58" s="91"/>
    </row>
    <row r="59" spans="3:16" s="14" customFormat="1" ht="12.75" x14ac:dyDescent="0.2">
      <c r="C59" s="12"/>
      <c r="D59" s="22" t="s">
        <v>111</v>
      </c>
      <c r="E59" s="23"/>
      <c r="F59" s="24" t="s">
        <v>110</v>
      </c>
      <c r="G59" s="25"/>
      <c r="H59" s="25"/>
      <c r="I59" s="25"/>
      <c r="J59" s="25"/>
      <c r="K59" s="25"/>
      <c r="L59" s="13"/>
      <c r="M59" s="19"/>
      <c r="P59" s="91"/>
    </row>
    <row r="60" spans="3:16" s="14" customFormat="1" ht="12.75" x14ac:dyDescent="0.2">
      <c r="C60" s="12"/>
      <c r="D60" s="26"/>
      <c r="E60" s="27" t="s">
        <v>20</v>
      </c>
      <c r="F60" s="28"/>
      <c r="G60" s="28"/>
      <c r="H60" s="28"/>
      <c r="I60" s="28"/>
      <c r="J60" s="28"/>
      <c r="K60" s="29"/>
      <c r="L60" s="13"/>
      <c r="M60" s="19"/>
      <c r="P60" s="91"/>
    </row>
    <row r="61" spans="3:16" s="14" customFormat="1" ht="12.75" x14ac:dyDescent="0.2">
      <c r="C61" s="12"/>
      <c r="D61" s="15" t="s">
        <v>112</v>
      </c>
      <c r="E61" s="20" t="s">
        <v>26</v>
      </c>
      <c r="F61" s="17" t="s">
        <v>113</v>
      </c>
      <c r="G61" s="18">
        <f t="shared" si="0"/>
        <v>6.2664798387096763</v>
      </c>
      <c r="H61" s="18">
        <f>SUM(H62:H64)</f>
        <v>0.92102150537634409</v>
      </c>
      <c r="I61" s="18">
        <f>SUM(I62:I64)</f>
        <v>5.1072741935483865</v>
      </c>
      <c r="J61" s="18">
        <f>SUM(J62:J64)</f>
        <v>0.23818413978494624</v>
      </c>
      <c r="K61" s="18">
        <f>SUM(K62:K64)</f>
        <v>0</v>
      </c>
      <c r="L61" s="13"/>
      <c r="M61" s="19"/>
      <c r="P61" s="91">
        <v>330</v>
      </c>
    </row>
    <row r="62" spans="3:16" s="14" customFormat="1" ht="12.75" x14ac:dyDescent="0.2">
      <c r="C62" s="12"/>
      <c r="D62" s="22" t="s">
        <v>114</v>
      </c>
      <c r="E62" s="23"/>
      <c r="F62" s="24" t="s">
        <v>113</v>
      </c>
      <c r="G62" s="25"/>
      <c r="H62" s="25"/>
      <c r="I62" s="25"/>
      <c r="J62" s="25"/>
      <c r="K62" s="25"/>
      <c r="L62" s="13"/>
      <c r="M62" s="19"/>
      <c r="P62" s="91"/>
    </row>
    <row r="63" spans="3:16" s="14" customFormat="1" ht="15" x14ac:dyDescent="0.25">
      <c r="C63" s="30" t="s">
        <v>29</v>
      </c>
      <c r="D63" s="31" t="s">
        <v>115</v>
      </c>
      <c r="E63" s="32" t="s">
        <v>31</v>
      </c>
      <c r="F63" s="33">
        <v>1461</v>
      </c>
      <c r="G63" s="34">
        <f>SUM(H63:K63)</f>
        <v>6.2664798387096763</v>
      </c>
      <c r="H63" s="35">
        <f>H25/744</f>
        <v>0.92102150537634409</v>
      </c>
      <c r="I63" s="35">
        <f>I25/744</f>
        <v>5.1072741935483865</v>
      </c>
      <c r="J63" s="35">
        <f>J25/744</f>
        <v>0.23818413978494624</v>
      </c>
      <c r="K63" s="35"/>
      <c r="L63" s="13"/>
      <c r="M63" s="37" t="s">
        <v>32</v>
      </c>
      <c r="N63" s="38" t="s">
        <v>33</v>
      </c>
      <c r="O63" s="38" t="s">
        <v>336</v>
      </c>
    </row>
    <row r="64" spans="3:16" s="14" customFormat="1" ht="12.75" x14ac:dyDescent="0.2">
      <c r="C64" s="12"/>
      <c r="D64" s="26"/>
      <c r="E64" s="27" t="s">
        <v>20</v>
      </c>
      <c r="F64" s="28"/>
      <c r="G64" s="28"/>
      <c r="H64" s="28"/>
      <c r="I64" s="28"/>
      <c r="J64" s="28"/>
      <c r="K64" s="29"/>
      <c r="L64" s="13"/>
      <c r="M64" s="19"/>
      <c r="P64" s="91"/>
    </row>
    <row r="65" spans="3:16" s="14" customFormat="1" ht="12.75" x14ac:dyDescent="0.2">
      <c r="C65" s="12"/>
      <c r="D65" s="15" t="s">
        <v>116</v>
      </c>
      <c r="E65" s="16" t="s">
        <v>35</v>
      </c>
      <c r="F65" s="17" t="s">
        <v>117</v>
      </c>
      <c r="G65" s="18">
        <f t="shared" si="0"/>
        <v>2.5359368279569887</v>
      </c>
      <c r="H65" s="18">
        <f>H67+H68+H69</f>
        <v>0</v>
      </c>
      <c r="I65" s="18">
        <f>I66+I68+I69</f>
        <v>0</v>
      </c>
      <c r="J65" s="18">
        <f>J66+J67+J69</f>
        <v>1.7613131720430104</v>
      </c>
      <c r="K65" s="18">
        <f>K66+K67+K68</f>
        <v>0.77462365591397842</v>
      </c>
      <c r="L65" s="13"/>
      <c r="M65" s="19"/>
      <c r="P65" s="91">
        <v>340</v>
      </c>
    </row>
    <row r="66" spans="3:16" s="14" customFormat="1" ht="12.75" x14ac:dyDescent="0.2">
      <c r="C66" s="12"/>
      <c r="D66" s="15" t="s">
        <v>118</v>
      </c>
      <c r="E66" s="20" t="s">
        <v>7</v>
      </c>
      <c r="F66" s="17" t="s">
        <v>119</v>
      </c>
      <c r="G66" s="18">
        <f t="shared" si="0"/>
        <v>0.88608064516129037</v>
      </c>
      <c r="H66" s="39"/>
      <c r="I66" s="21"/>
      <c r="J66" s="21">
        <f>J28/744</f>
        <v>0.88608064516129037</v>
      </c>
      <c r="K66" s="21"/>
      <c r="L66" s="13"/>
      <c r="M66" s="19"/>
      <c r="P66" s="91">
        <v>350</v>
      </c>
    </row>
    <row r="67" spans="3:16" s="14" customFormat="1" ht="12.75" x14ac:dyDescent="0.2">
      <c r="C67" s="12"/>
      <c r="D67" s="15" t="s">
        <v>120</v>
      </c>
      <c r="E67" s="20" t="s">
        <v>8</v>
      </c>
      <c r="F67" s="17" t="s">
        <v>121</v>
      </c>
      <c r="G67" s="18">
        <f t="shared" si="0"/>
        <v>0.87523252688172015</v>
      </c>
      <c r="H67" s="21"/>
      <c r="I67" s="46"/>
      <c r="J67" s="21">
        <f>J29/744</f>
        <v>0.87523252688172015</v>
      </c>
      <c r="K67" s="21"/>
      <c r="L67" s="13"/>
      <c r="M67" s="19"/>
      <c r="P67" s="91">
        <v>360</v>
      </c>
    </row>
    <row r="68" spans="3:16" s="14" customFormat="1" ht="12.75" x14ac:dyDescent="0.2">
      <c r="C68" s="12"/>
      <c r="D68" s="15" t="s">
        <v>122</v>
      </c>
      <c r="E68" s="20" t="s">
        <v>9</v>
      </c>
      <c r="F68" s="17" t="s">
        <v>123</v>
      </c>
      <c r="G68" s="18">
        <f t="shared" si="0"/>
        <v>0.77462365591397842</v>
      </c>
      <c r="H68" s="21"/>
      <c r="I68" s="21"/>
      <c r="J68" s="39"/>
      <c r="K68" s="21">
        <f>K30/744</f>
        <v>0.77462365591397842</v>
      </c>
      <c r="L68" s="13"/>
      <c r="M68" s="19"/>
      <c r="P68" s="91">
        <v>370</v>
      </c>
    </row>
    <row r="69" spans="3:16" s="14" customFormat="1" ht="12.75" x14ac:dyDescent="0.2">
      <c r="C69" s="12"/>
      <c r="D69" s="15" t="s">
        <v>124</v>
      </c>
      <c r="E69" s="20" t="s">
        <v>44</v>
      </c>
      <c r="F69" s="17" t="s">
        <v>125</v>
      </c>
      <c r="G69" s="18">
        <f t="shared" si="0"/>
        <v>0</v>
      </c>
      <c r="H69" s="21"/>
      <c r="I69" s="21"/>
      <c r="J69" s="21"/>
      <c r="K69" s="39"/>
      <c r="L69" s="13"/>
      <c r="M69" s="19"/>
      <c r="P69" s="91">
        <v>380</v>
      </c>
    </row>
    <row r="70" spans="3:16" s="14" customFormat="1" ht="12.75" x14ac:dyDescent="0.2">
      <c r="C70" s="12"/>
      <c r="D70" s="15" t="s">
        <v>126</v>
      </c>
      <c r="E70" s="40" t="s">
        <v>47</v>
      </c>
      <c r="F70" s="17" t="s">
        <v>127</v>
      </c>
      <c r="G70" s="18">
        <f t="shared" si="0"/>
        <v>0</v>
      </c>
      <c r="H70" s="21"/>
      <c r="I70" s="21"/>
      <c r="J70" s="21"/>
      <c r="K70" s="21"/>
      <c r="L70" s="13"/>
      <c r="M70" s="19"/>
      <c r="P70" s="91"/>
    </row>
    <row r="71" spans="3:16" s="14" customFormat="1" ht="12.75" x14ac:dyDescent="0.2">
      <c r="C71" s="12"/>
      <c r="D71" s="15" t="s">
        <v>128</v>
      </c>
      <c r="E71" s="16" t="s">
        <v>50</v>
      </c>
      <c r="F71" s="41" t="s">
        <v>129</v>
      </c>
      <c r="G71" s="18">
        <f t="shared" si="0"/>
        <v>6.0849583333333328</v>
      </c>
      <c r="H71" s="18">
        <f>H72+H74+H77+H81</f>
        <v>0</v>
      </c>
      <c r="I71" s="18">
        <f>I72+I74+I77+I81</f>
        <v>4.2172298387096774</v>
      </c>
      <c r="J71" s="18">
        <f>J72+J74+J77+J81</f>
        <v>1.1553938172043012</v>
      </c>
      <c r="K71" s="18">
        <f>K72+K74+K77+K81</f>
        <v>0.71233467741935486</v>
      </c>
      <c r="L71" s="13"/>
      <c r="M71" s="19"/>
      <c r="P71" s="91">
        <v>390</v>
      </c>
    </row>
    <row r="72" spans="3:16" s="14" customFormat="1" ht="22.5" x14ac:dyDescent="0.2">
      <c r="C72" s="12"/>
      <c r="D72" s="15" t="s">
        <v>130</v>
      </c>
      <c r="E72" s="20" t="s">
        <v>53</v>
      </c>
      <c r="F72" s="17" t="s">
        <v>131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132</v>
      </c>
      <c r="E73" s="42" t="s">
        <v>56</v>
      </c>
      <c r="F73" s="17" t="s">
        <v>133</v>
      </c>
      <c r="G73" s="18">
        <f t="shared" si="0"/>
        <v>0</v>
      </c>
      <c r="H73" s="21"/>
      <c r="I73" s="21"/>
      <c r="J73" s="21"/>
      <c r="K73" s="21"/>
      <c r="L73" s="13"/>
      <c r="M73" s="19"/>
      <c r="P73" s="91"/>
    </row>
    <row r="74" spans="3:16" s="14" customFormat="1" ht="12.75" x14ac:dyDescent="0.2">
      <c r="C74" s="12"/>
      <c r="D74" s="15" t="s">
        <v>134</v>
      </c>
      <c r="E74" s="20" t="s">
        <v>59</v>
      </c>
      <c r="F74" s="17" t="s">
        <v>135</v>
      </c>
      <c r="G74" s="18">
        <f t="shared" si="0"/>
        <v>2.7927486559139787</v>
      </c>
      <c r="H74" s="21"/>
      <c r="I74" s="21">
        <f>I36/744</f>
        <v>0.92502016129032283</v>
      </c>
      <c r="J74" s="21">
        <f>J36/744</f>
        <v>1.1553938172043012</v>
      </c>
      <c r="K74" s="21">
        <f>K36/744</f>
        <v>0.71233467741935486</v>
      </c>
      <c r="L74" s="13"/>
      <c r="M74" s="19"/>
      <c r="P74" s="91"/>
    </row>
    <row r="75" spans="3:16" s="14" customFormat="1" ht="12.75" x14ac:dyDescent="0.2">
      <c r="C75" s="12"/>
      <c r="D75" s="15" t="s">
        <v>136</v>
      </c>
      <c r="E75" s="42" t="s">
        <v>62</v>
      </c>
      <c r="F75" s="17" t="s">
        <v>137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22.5" x14ac:dyDescent="0.2">
      <c r="C76" s="12"/>
      <c r="D76" s="15" t="s">
        <v>138</v>
      </c>
      <c r="E76" s="43" t="s">
        <v>56</v>
      </c>
      <c r="F76" s="17" t="s">
        <v>139</v>
      </c>
      <c r="G76" s="18">
        <f t="shared" si="0"/>
        <v>0</v>
      </c>
      <c r="H76" s="21"/>
      <c r="I76" s="21"/>
      <c r="J76" s="21"/>
      <c r="K76" s="21"/>
      <c r="L76" s="13"/>
      <c r="M76" s="19"/>
      <c r="P76" s="91"/>
    </row>
    <row r="77" spans="3:16" s="14" customFormat="1" ht="12.75" x14ac:dyDescent="0.2">
      <c r="C77" s="12"/>
      <c r="D77" s="15" t="s">
        <v>140</v>
      </c>
      <c r="E77" s="20" t="s">
        <v>67</v>
      </c>
      <c r="F77" s="17" t="s">
        <v>141</v>
      </c>
      <c r="G77" s="18">
        <f t="shared" si="0"/>
        <v>3.292209677419355</v>
      </c>
      <c r="H77" s="18">
        <f>SUM(H78:H80)</f>
        <v>0</v>
      </c>
      <c r="I77" s="18">
        <f>SUM(I78:I80)</f>
        <v>3.292209677419355</v>
      </c>
      <c r="J77" s="18">
        <f>SUM(J78:J80)</f>
        <v>0</v>
      </c>
      <c r="K77" s="18">
        <f>SUM(K78:K80)</f>
        <v>0</v>
      </c>
      <c r="L77" s="13"/>
      <c r="M77" s="19"/>
      <c r="P77" s="91"/>
    </row>
    <row r="78" spans="3:16" s="14" customFormat="1" ht="12.75" x14ac:dyDescent="0.2">
      <c r="C78" s="12"/>
      <c r="D78" s="22" t="s">
        <v>142</v>
      </c>
      <c r="E78" s="23"/>
      <c r="F78" s="24" t="s">
        <v>141</v>
      </c>
      <c r="G78" s="25"/>
      <c r="H78" s="25"/>
      <c r="I78" s="25"/>
      <c r="J78" s="25"/>
      <c r="K78" s="25"/>
      <c r="L78" s="13"/>
      <c r="M78" s="19"/>
      <c r="P78" s="91"/>
    </row>
    <row r="79" spans="3:16" s="14" customFormat="1" ht="15" x14ac:dyDescent="0.25">
      <c r="C79" s="30" t="s">
        <v>29</v>
      </c>
      <c r="D79" s="31" t="s">
        <v>143</v>
      </c>
      <c r="E79" s="32" t="s">
        <v>71</v>
      </c>
      <c r="F79" s="33">
        <v>1781</v>
      </c>
      <c r="G79" s="34">
        <f>SUM(H79:K79)</f>
        <v>3.292209677419355</v>
      </c>
      <c r="H79" s="35"/>
      <c r="I79" s="35">
        <f>I41/744</f>
        <v>3.292209677419355</v>
      </c>
      <c r="J79" s="35"/>
      <c r="K79" s="36"/>
      <c r="L79" s="13"/>
      <c r="M79" s="37" t="s">
        <v>72</v>
      </c>
      <c r="N79" s="38" t="s">
        <v>73</v>
      </c>
      <c r="O79" s="38" t="s">
        <v>337</v>
      </c>
    </row>
    <row r="80" spans="3:16" s="14" customFormat="1" ht="12.75" x14ac:dyDescent="0.2">
      <c r="C80" s="12"/>
      <c r="D80" s="26"/>
      <c r="E80" s="27" t="s">
        <v>20</v>
      </c>
      <c r="F80" s="28"/>
      <c r="G80" s="28"/>
      <c r="H80" s="28"/>
      <c r="I80" s="28"/>
      <c r="J80" s="28"/>
      <c r="K80" s="29"/>
      <c r="L80" s="13"/>
      <c r="M80" s="19"/>
      <c r="P80" s="91"/>
    </row>
    <row r="81" spans="3:16" s="14" customFormat="1" ht="12.75" x14ac:dyDescent="0.2">
      <c r="C81" s="12"/>
      <c r="D81" s="15" t="s">
        <v>144</v>
      </c>
      <c r="E81" s="45" t="s">
        <v>75</v>
      </c>
      <c r="F81" s="17" t="s">
        <v>145</v>
      </c>
      <c r="G81" s="18">
        <f t="shared" si="0"/>
        <v>0</v>
      </c>
      <c r="H81" s="21"/>
      <c r="I81" s="21"/>
      <c r="J81" s="21"/>
      <c r="K81" s="21"/>
      <c r="L81" s="13"/>
      <c r="M81" s="19"/>
      <c r="P81" s="91">
        <v>410</v>
      </c>
    </row>
    <row r="82" spans="3:16" s="14" customFormat="1" ht="12.75" x14ac:dyDescent="0.2">
      <c r="C82" s="12"/>
      <c r="D82" s="15" t="s">
        <v>146</v>
      </c>
      <c r="E82" s="16" t="s">
        <v>78</v>
      </c>
      <c r="F82" s="17" t="s">
        <v>147</v>
      </c>
      <c r="G82" s="18">
        <f t="shared" si="0"/>
        <v>2.5359368279569887</v>
      </c>
      <c r="H82" s="21">
        <f>H44/744</f>
        <v>0.88608064516129037</v>
      </c>
      <c r="I82" s="21">
        <f>I44/744</f>
        <v>0.87523252688172015</v>
      </c>
      <c r="J82" s="21">
        <f>J44/744</f>
        <v>0.77462365591397842</v>
      </c>
      <c r="K82" s="21"/>
      <c r="L82" s="13"/>
      <c r="M82" s="19"/>
      <c r="P82" s="91">
        <v>440</v>
      </c>
    </row>
    <row r="83" spans="3:16" s="14" customFormat="1" ht="12.75" x14ac:dyDescent="0.2">
      <c r="C83" s="12"/>
      <c r="D83" s="15" t="s">
        <v>148</v>
      </c>
      <c r="E83" s="16" t="s">
        <v>81</v>
      </c>
      <c r="F83" s="17" t="s">
        <v>149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450</v>
      </c>
    </row>
    <row r="84" spans="3:16" s="14" customFormat="1" ht="12.75" x14ac:dyDescent="0.2">
      <c r="C84" s="12"/>
      <c r="D84" s="15" t="s">
        <v>150</v>
      </c>
      <c r="E84" s="16" t="s">
        <v>84</v>
      </c>
      <c r="F84" s="17" t="s">
        <v>151</v>
      </c>
      <c r="G84" s="18">
        <f t="shared" si="0"/>
        <v>0</v>
      </c>
      <c r="H84" s="21"/>
      <c r="I84" s="21"/>
      <c r="J84" s="21"/>
      <c r="K84" s="21"/>
      <c r="L84" s="13"/>
      <c r="M84" s="19"/>
      <c r="P84" s="91">
        <v>470</v>
      </c>
    </row>
    <row r="85" spans="3:16" s="14" customFormat="1" ht="12.75" x14ac:dyDescent="0.2">
      <c r="C85" s="12"/>
      <c r="D85" s="15" t="s">
        <v>152</v>
      </c>
      <c r="E85" s="16" t="s">
        <v>87</v>
      </c>
      <c r="F85" s="17" t="s">
        <v>153</v>
      </c>
      <c r="G85" s="18">
        <f t="shared" si="0"/>
        <v>0.18152150537634409</v>
      </c>
      <c r="H85" s="21">
        <f>H47/744</f>
        <v>3.4940860215053764E-2</v>
      </c>
      <c r="I85" s="21">
        <f>I47/744</f>
        <v>1.4811827956989246E-2</v>
      </c>
      <c r="J85" s="21">
        <f>J47/744</f>
        <v>6.9479838709677416E-2</v>
      </c>
      <c r="K85" s="21">
        <f>K47/744</f>
        <v>6.2288978494623663E-2</v>
      </c>
      <c r="L85" s="13"/>
      <c r="M85" s="19"/>
      <c r="P85" s="91">
        <v>480</v>
      </c>
    </row>
    <row r="86" spans="3:16" s="14" customFormat="1" ht="12.75" x14ac:dyDescent="0.2">
      <c r="C86" s="12"/>
      <c r="D86" s="15" t="s">
        <v>154</v>
      </c>
      <c r="E86" s="20" t="s">
        <v>155</v>
      </c>
      <c r="F86" s="17" t="s">
        <v>156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490</v>
      </c>
    </row>
    <row r="87" spans="3:16" s="14" customFormat="1" ht="22.5" x14ac:dyDescent="0.2">
      <c r="C87" s="12"/>
      <c r="D87" s="15" t="s">
        <v>157</v>
      </c>
      <c r="E87" s="16" t="s">
        <v>93</v>
      </c>
      <c r="F87" s="17" t="s">
        <v>158</v>
      </c>
      <c r="G87" s="18">
        <f t="shared" si="0"/>
        <v>0.30376344086021506</v>
      </c>
      <c r="H87" s="21"/>
      <c r="I87" s="21">
        <f>I49/744</f>
        <v>7.4968817204301083E-2</v>
      </c>
      <c r="J87" s="21">
        <f>J49/744</f>
        <v>0.10002930107526881</v>
      </c>
      <c r="K87" s="21">
        <f>K49/744</f>
        <v>0.12876532258064516</v>
      </c>
      <c r="L87" s="13"/>
      <c r="M87" s="19"/>
      <c r="P87" s="91"/>
    </row>
    <row r="88" spans="3:16" s="14" customFormat="1" ht="33.75" x14ac:dyDescent="0.2">
      <c r="C88" s="12"/>
      <c r="D88" s="15" t="s">
        <v>159</v>
      </c>
      <c r="E88" s="40" t="s">
        <v>96</v>
      </c>
      <c r="F88" s="17" t="s">
        <v>160</v>
      </c>
      <c r="G88" s="18">
        <f t="shared" si="0"/>
        <v>-0.12224193548387095</v>
      </c>
      <c r="H88" s="18">
        <f>H85-H87</f>
        <v>3.4940860215053764E-2</v>
      </c>
      <c r="I88" s="18">
        <f>I85-I87</f>
        <v>-6.0156989247311839E-2</v>
      </c>
      <c r="J88" s="18">
        <f>J85-J87</f>
        <v>-3.054946236559139E-2</v>
      </c>
      <c r="K88" s="18">
        <f>K85-K87</f>
        <v>-6.6476344086021488E-2</v>
      </c>
      <c r="L88" s="13"/>
      <c r="M88" s="19"/>
      <c r="P88" s="91"/>
    </row>
    <row r="89" spans="3:16" s="14" customFormat="1" ht="12.75" x14ac:dyDescent="0.2">
      <c r="C89" s="12"/>
      <c r="D89" s="15" t="s">
        <v>161</v>
      </c>
      <c r="E89" s="16" t="s">
        <v>99</v>
      </c>
      <c r="F89" s="17" t="s">
        <v>162</v>
      </c>
      <c r="G89" s="18">
        <f t="shared" si="0"/>
        <v>0</v>
      </c>
      <c r="H89" s="18">
        <f>(H53+H65+H70)-(H71+H82+H83+H84+H85)</f>
        <v>0</v>
      </c>
      <c r="I89" s="18">
        <f>(I53+I65+I70)-(I71+I82+I83+I84+I85)</f>
        <v>0</v>
      </c>
      <c r="J89" s="18">
        <f>(J53+J65+J70)-(J71+J82+J83+J84+J85)</f>
        <v>0</v>
      </c>
      <c r="K89" s="18">
        <f>(K53+K65+K70)-(K71+K82+K83+K84+K85)</f>
        <v>0</v>
      </c>
      <c r="L89" s="13"/>
      <c r="M89" s="19"/>
      <c r="P89" s="91">
        <v>500</v>
      </c>
    </row>
    <row r="90" spans="3:16" s="14" customFormat="1" ht="12.75" x14ac:dyDescent="0.2">
      <c r="C90" s="12"/>
      <c r="D90" s="111" t="s">
        <v>163</v>
      </c>
      <c r="E90" s="112"/>
      <c r="F90" s="112"/>
      <c r="G90" s="112"/>
      <c r="H90" s="112"/>
      <c r="I90" s="112"/>
      <c r="J90" s="112"/>
      <c r="K90" s="113"/>
      <c r="L90" s="13"/>
      <c r="M90" s="19"/>
      <c r="P90" s="92"/>
    </row>
    <row r="91" spans="3:16" s="14" customFormat="1" ht="12.75" x14ac:dyDescent="0.2">
      <c r="C91" s="12"/>
      <c r="D91" s="15" t="s">
        <v>164</v>
      </c>
      <c r="E91" s="16" t="s">
        <v>165</v>
      </c>
      <c r="F91" s="17" t="s">
        <v>166</v>
      </c>
      <c r="G91" s="18">
        <f t="shared" si="0"/>
        <v>0</v>
      </c>
      <c r="H91" s="21"/>
      <c r="I91" s="21"/>
      <c r="J91" s="21"/>
      <c r="K91" s="21"/>
      <c r="L91" s="13"/>
      <c r="M91" s="19"/>
      <c r="P91" s="91">
        <v>600</v>
      </c>
    </row>
    <row r="92" spans="3:16" s="14" customFormat="1" ht="12.75" x14ac:dyDescent="0.2">
      <c r="C92" s="12"/>
      <c r="D92" s="15" t="s">
        <v>167</v>
      </c>
      <c r="E92" s="16" t="s">
        <v>168</v>
      </c>
      <c r="F92" s="17" t="s">
        <v>169</v>
      </c>
      <c r="G92" s="18">
        <f t="shared" si="0"/>
        <v>25.006</v>
      </c>
      <c r="H92" s="21"/>
      <c r="I92" s="21">
        <v>25.006</v>
      </c>
      <c r="J92" s="21"/>
      <c r="K92" s="21"/>
      <c r="L92" s="13"/>
      <c r="M92" s="19"/>
      <c r="P92" s="91">
        <v>610</v>
      </c>
    </row>
    <row r="93" spans="3:16" s="14" customFormat="1" ht="12.75" x14ac:dyDescent="0.2">
      <c r="C93" s="12"/>
      <c r="D93" s="15" t="s">
        <v>170</v>
      </c>
      <c r="E93" s="16" t="s">
        <v>171</v>
      </c>
      <c r="F93" s="17" t="s">
        <v>172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620</v>
      </c>
    </row>
    <row r="94" spans="3:16" s="14" customFormat="1" ht="12.75" x14ac:dyDescent="0.2">
      <c r="C94" s="12"/>
      <c r="D94" s="111" t="s">
        <v>173</v>
      </c>
      <c r="E94" s="112"/>
      <c r="F94" s="112"/>
      <c r="G94" s="112"/>
      <c r="H94" s="112"/>
      <c r="I94" s="112"/>
      <c r="J94" s="112"/>
      <c r="K94" s="113"/>
      <c r="L94" s="13"/>
      <c r="M94" s="19"/>
      <c r="P94" s="92"/>
    </row>
    <row r="95" spans="3:16" s="14" customFormat="1" ht="12.75" x14ac:dyDescent="0.2">
      <c r="C95" s="12"/>
      <c r="D95" s="15" t="s">
        <v>174</v>
      </c>
      <c r="E95" s="16" t="s">
        <v>175</v>
      </c>
      <c r="F95" s="17" t="s">
        <v>176</v>
      </c>
      <c r="G95" s="18">
        <f t="shared" si="0"/>
        <v>0</v>
      </c>
      <c r="H95" s="18">
        <f>SUM(H96:H97)</f>
        <v>0</v>
      </c>
      <c r="I95" s="18">
        <f>SUM(I96:I97)</f>
        <v>0</v>
      </c>
      <c r="J95" s="18">
        <f>SUM(J96:J97)</f>
        <v>0</v>
      </c>
      <c r="K95" s="18">
        <f>SUM(K96:K97)</f>
        <v>0</v>
      </c>
      <c r="L95" s="13"/>
      <c r="M95" s="19"/>
      <c r="P95" s="91">
        <v>700</v>
      </c>
    </row>
    <row r="96" spans="3:16" ht="12.75" x14ac:dyDescent="0.2">
      <c r="C96" s="2"/>
      <c r="D96" s="47" t="s">
        <v>177</v>
      </c>
      <c r="E96" s="20" t="s">
        <v>178</v>
      </c>
      <c r="F96" s="17" t="s">
        <v>179</v>
      </c>
      <c r="G96" s="18">
        <f t="shared" si="0"/>
        <v>0</v>
      </c>
      <c r="H96" s="48"/>
      <c r="I96" s="48"/>
      <c r="J96" s="48"/>
      <c r="K96" s="48"/>
      <c r="L96" s="8"/>
      <c r="M96" s="19"/>
      <c r="P96" s="91">
        <v>710</v>
      </c>
    </row>
    <row r="97" spans="3:16" ht="12.75" x14ac:dyDescent="0.2">
      <c r="C97" s="2"/>
      <c r="D97" s="47" t="s">
        <v>180</v>
      </c>
      <c r="E97" s="20" t="s">
        <v>181</v>
      </c>
      <c r="F97" s="17" t="s">
        <v>182</v>
      </c>
      <c r="G97" s="18">
        <f t="shared" si="0"/>
        <v>0</v>
      </c>
      <c r="H97" s="49">
        <f>H100</f>
        <v>0</v>
      </c>
      <c r="I97" s="49">
        <f>I100</f>
        <v>0</v>
      </c>
      <c r="J97" s="49">
        <f>J100</f>
        <v>0</v>
      </c>
      <c r="K97" s="49">
        <f>K100</f>
        <v>0</v>
      </c>
      <c r="L97" s="8"/>
      <c r="M97" s="19"/>
      <c r="P97" s="91">
        <v>720</v>
      </c>
    </row>
    <row r="98" spans="3:16" ht="12.75" x14ac:dyDescent="0.2">
      <c r="C98" s="2"/>
      <c r="D98" s="47" t="s">
        <v>183</v>
      </c>
      <c r="E98" s="42" t="s">
        <v>184</v>
      </c>
      <c r="F98" s="17" t="s">
        <v>185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730</v>
      </c>
    </row>
    <row r="99" spans="3:16" ht="12.75" x14ac:dyDescent="0.2">
      <c r="C99" s="2"/>
      <c r="D99" s="47" t="s">
        <v>186</v>
      </c>
      <c r="E99" s="43" t="s">
        <v>187</v>
      </c>
      <c r="F99" s="17" t="s">
        <v>188</v>
      </c>
      <c r="G99" s="18">
        <f t="shared" si="0"/>
        <v>0</v>
      </c>
      <c r="H99" s="48"/>
      <c r="I99" s="48"/>
      <c r="J99" s="48"/>
      <c r="K99" s="48"/>
      <c r="L99" s="8"/>
      <c r="M99" s="19"/>
      <c r="P99" s="91"/>
    </row>
    <row r="100" spans="3:16" ht="12.75" x14ac:dyDescent="0.2">
      <c r="C100" s="2"/>
      <c r="D100" s="47" t="s">
        <v>189</v>
      </c>
      <c r="E100" s="42" t="s">
        <v>190</v>
      </c>
      <c r="F100" s="17" t="s">
        <v>191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740</v>
      </c>
    </row>
    <row r="101" spans="3:16" ht="12.75" x14ac:dyDescent="0.2">
      <c r="C101" s="2"/>
      <c r="D101" s="47" t="s">
        <v>192</v>
      </c>
      <c r="E101" s="16" t="s">
        <v>193</v>
      </c>
      <c r="F101" s="17" t="s">
        <v>194</v>
      </c>
      <c r="G101" s="18">
        <f t="shared" si="0"/>
        <v>0</v>
      </c>
      <c r="H101" s="49">
        <f>H102+H118</f>
        <v>0</v>
      </c>
      <c r="I101" s="49">
        <f>I102+I118</f>
        <v>0</v>
      </c>
      <c r="J101" s="49">
        <f>J102+J118</f>
        <v>0</v>
      </c>
      <c r="K101" s="49">
        <f>K102+K118</f>
        <v>0</v>
      </c>
      <c r="L101" s="8"/>
      <c r="M101" s="19"/>
      <c r="P101" s="91">
        <v>750</v>
      </c>
    </row>
    <row r="102" spans="3:16" ht="12.75" x14ac:dyDescent="0.2">
      <c r="C102" s="2"/>
      <c r="D102" s="47" t="s">
        <v>195</v>
      </c>
      <c r="E102" s="20" t="s">
        <v>196</v>
      </c>
      <c r="F102" s="17" t="s">
        <v>197</v>
      </c>
      <c r="G102" s="18">
        <f t="shared" si="0"/>
        <v>0</v>
      </c>
      <c r="H102" s="49">
        <f>H103+H104</f>
        <v>0</v>
      </c>
      <c r="I102" s="49">
        <f>I103+I104</f>
        <v>0</v>
      </c>
      <c r="J102" s="49">
        <f>J103+J104</f>
        <v>0</v>
      </c>
      <c r="K102" s="49">
        <f>K103+K104</f>
        <v>0</v>
      </c>
      <c r="L102" s="8"/>
      <c r="M102" s="19"/>
      <c r="P102" s="91">
        <v>760</v>
      </c>
    </row>
    <row r="103" spans="3:16" ht="12.75" x14ac:dyDescent="0.2">
      <c r="C103" s="2"/>
      <c r="D103" s="47" t="s">
        <v>198</v>
      </c>
      <c r="E103" s="42" t="s">
        <v>199</v>
      </c>
      <c r="F103" s="17" t="s">
        <v>200</v>
      </c>
      <c r="G103" s="18">
        <f t="shared" si="0"/>
        <v>0</v>
      </c>
      <c r="H103" s="48"/>
      <c r="I103" s="48"/>
      <c r="J103" s="48"/>
      <c r="K103" s="48"/>
      <c r="L103" s="8"/>
      <c r="M103" s="19"/>
      <c r="P103" s="91"/>
    </row>
    <row r="104" spans="3:16" ht="12.75" x14ac:dyDescent="0.2">
      <c r="C104" s="2"/>
      <c r="D104" s="47" t="s">
        <v>201</v>
      </c>
      <c r="E104" s="42" t="s">
        <v>202</v>
      </c>
      <c r="F104" s="17" t="s">
        <v>203</v>
      </c>
      <c r="G104" s="18">
        <f t="shared" si="0"/>
        <v>0</v>
      </c>
      <c r="H104" s="49">
        <f>H105+H108+H111+H114+H115+H116+H117</f>
        <v>0</v>
      </c>
      <c r="I104" s="49">
        <f>I105+I108+I111+I114+I115+I116+I117</f>
        <v>0</v>
      </c>
      <c r="J104" s="49">
        <f>J105+J108+J111+J114+J115+J116+J117</f>
        <v>0</v>
      </c>
      <c r="K104" s="49">
        <f>K105+K108+K111+K114+K115+K116+K117</f>
        <v>0</v>
      </c>
      <c r="L104" s="8"/>
      <c r="M104" s="19"/>
      <c r="P104" s="91"/>
    </row>
    <row r="105" spans="3:16" ht="45" x14ac:dyDescent="0.2">
      <c r="C105" s="2"/>
      <c r="D105" s="47" t="s">
        <v>204</v>
      </c>
      <c r="E105" s="43" t="s">
        <v>205</v>
      </c>
      <c r="F105" s="17" t="s">
        <v>206</v>
      </c>
      <c r="G105" s="18">
        <f t="shared" si="0"/>
        <v>0</v>
      </c>
      <c r="H105" s="50">
        <f>H106+H107</f>
        <v>0</v>
      </c>
      <c r="I105" s="50">
        <f>I106+I107</f>
        <v>0</v>
      </c>
      <c r="J105" s="50">
        <f>J106+J107</f>
        <v>0</v>
      </c>
      <c r="K105" s="50">
        <f>K106+K107</f>
        <v>0</v>
      </c>
      <c r="L105" s="8"/>
      <c r="M105" s="19"/>
      <c r="P105" s="91"/>
    </row>
    <row r="106" spans="3:16" ht="12.75" x14ac:dyDescent="0.2">
      <c r="C106" s="2"/>
      <c r="D106" s="47" t="s">
        <v>207</v>
      </c>
      <c r="E106" s="51" t="s">
        <v>208</v>
      </c>
      <c r="F106" s="17" t="s">
        <v>209</v>
      </c>
      <c r="G106" s="18">
        <f t="shared" si="0"/>
        <v>0</v>
      </c>
      <c r="H106" s="48"/>
      <c r="I106" s="48"/>
      <c r="J106" s="48"/>
      <c r="K106" s="48"/>
      <c r="L106" s="8"/>
      <c r="M106" s="19"/>
      <c r="P106" s="91"/>
    </row>
    <row r="107" spans="3:16" ht="12.75" x14ac:dyDescent="0.2">
      <c r="C107" s="2"/>
      <c r="D107" s="47" t="s">
        <v>210</v>
      </c>
      <c r="E107" s="51" t="s">
        <v>211</v>
      </c>
      <c r="F107" s="17" t="s">
        <v>212</v>
      </c>
      <c r="G107" s="18">
        <f t="shared" si="0"/>
        <v>0</v>
      </c>
      <c r="H107" s="48"/>
      <c r="I107" s="48"/>
      <c r="J107" s="48"/>
      <c r="K107" s="48"/>
      <c r="L107" s="8"/>
      <c r="M107" s="19"/>
      <c r="P107" s="91"/>
    </row>
    <row r="108" spans="3:16" ht="45" x14ac:dyDescent="0.2">
      <c r="C108" s="2"/>
      <c r="D108" s="47" t="s">
        <v>213</v>
      </c>
      <c r="E108" s="43" t="s">
        <v>214</v>
      </c>
      <c r="F108" s="17" t="s">
        <v>215</v>
      </c>
      <c r="G108" s="18">
        <f t="shared" si="0"/>
        <v>0</v>
      </c>
      <c r="H108" s="50">
        <f>H109+H110</f>
        <v>0</v>
      </c>
      <c r="I108" s="50">
        <f>I109+I110</f>
        <v>0</v>
      </c>
      <c r="J108" s="50">
        <f>J109+J110</f>
        <v>0</v>
      </c>
      <c r="K108" s="50">
        <f>K109+K110</f>
        <v>0</v>
      </c>
      <c r="L108" s="8"/>
      <c r="M108" s="19"/>
      <c r="P108" s="91"/>
    </row>
    <row r="109" spans="3:16" ht="12.75" x14ac:dyDescent="0.2">
      <c r="C109" s="2"/>
      <c r="D109" s="47" t="s">
        <v>216</v>
      </c>
      <c r="E109" s="51" t="s">
        <v>208</v>
      </c>
      <c r="F109" s="17" t="s">
        <v>217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12.75" x14ac:dyDescent="0.2">
      <c r="C110" s="2"/>
      <c r="D110" s="47" t="s">
        <v>218</v>
      </c>
      <c r="E110" s="51" t="s">
        <v>211</v>
      </c>
      <c r="F110" s="17" t="s">
        <v>219</v>
      </c>
      <c r="G110" s="18">
        <f t="shared" si="0"/>
        <v>0</v>
      </c>
      <c r="H110" s="48"/>
      <c r="I110" s="48"/>
      <c r="J110" s="48"/>
      <c r="K110" s="48"/>
      <c r="L110" s="8"/>
      <c r="M110" s="19"/>
      <c r="P110" s="91"/>
    </row>
    <row r="111" spans="3:16" ht="22.5" x14ac:dyDescent="0.2">
      <c r="C111" s="2"/>
      <c r="D111" s="47" t="s">
        <v>220</v>
      </c>
      <c r="E111" s="43" t="s">
        <v>221</v>
      </c>
      <c r="F111" s="17" t="s">
        <v>222</v>
      </c>
      <c r="G111" s="18">
        <f t="shared" si="0"/>
        <v>0</v>
      </c>
      <c r="H111" s="50">
        <f>H112+H113</f>
        <v>0</v>
      </c>
      <c r="I111" s="50">
        <f>I112+I113</f>
        <v>0</v>
      </c>
      <c r="J111" s="50">
        <f>J112+J113</f>
        <v>0</v>
      </c>
      <c r="K111" s="50">
        <f>K112+K113</f>
        <v>0</v>
      </c>
      <c r="L111" s="8"/>
      <c r="M111" s="19"/>
      <c r="P111" s="91"/>
    </row>
    <row r="112" spans="3:16" ht="12.75" x14ac:dyDescent="0.2">
      <c r="C112" s="2"/>
      <c r="D112" s="47" t="s">
        <v>223</v>
      </c>
      <c r="E112" s="51" t="s">
        <v>208</v>
      </c>
      <c r="F112" s="17" t="s">
        <v>224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12.75" x14ac:dyDescent="0.2">
      <c r="C113" s="2"/>
      <c r="D113" s="47" t="s">
        <v>225</v>
      </c>
      <c r="E113" s="51" t="s">
        <v>211</v>
      </c>
      <c r="F113" s="17" t="s">
        <v>226</v>
      </c>
      <c r="G113" s="18">
        <f t="shared" si="0"/>
        <v>0</v>
      </c>
      <c r="H113" s="48"/>
      <c r="I113" s="48"/>
      <c r="J113" s="48"/>
      <c r="K113" s="48"/>
      <c r="L113" s="8"/>
      <c r="M113" s="19"/>
      <c r="P113" s="91"/>
    </row>
    <row r="114" spans="3:16" ht="22.5" x14ac:dyDescent="0.2">
      <c r="C114" s="2"/>
      <c r="D114" s="47" t="s">
        <v>227</v>
      </c>
      <c r="E114" s="43" t="s">
        <v>228</v>
      </c>
      <c r="F114" s="17" t="s">
        <v>229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230</v>
      </c>
      <c r="E115" s="43" t="s">
        <v>231</v>
      </c>
      <c r="F115" s="17" t="s">
        <v>232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45" x14ac:dyDescent="0.2">
      <c r="C116" s="2"/>
      <c r="D116" s="47" t="s">
        <v>233</v>
      </c>
      <c r="E116" s="43" t="s">
        <v>234</v>
      </c>
      <c r="F116" s="17" t="s">
        <v>235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33.75" x14ac:dyDescent="0.2">
      <c r="C117" s="2"/>
      <c r="D117" s="47" t="s">
        <v>236</v>
      </c>
      <c r="E117" s="43" t="s">
        <v>237</v>
      </c>
      <c r="F117" s="17" t="s">
        <v>238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12.75" x14ac:dyDescent="0.2">
      <c r="C118" s="2"/>
      <c r="D118" s="47" t="s">
        <v>239</v>
      </c>
      <c r="E118" s="20" t="s">
        <v>240</v>
      </c>
      <c r="F118" s="17" t="s">
        <v>241</v>
      </c>
      <c r="G118" s="18">
        <f t="shared" si="0"/>
        <v>0</v>
      </c>
      <c r="H118" s="49">
        <f>H121</f>
        <v>0</v>
      </c>
      <c r="I118" s="49">
        <f>I121</f>
        <v>0</v>
      </c>
      <c r="J118" s="49">
        <f>J121</f>
        <v>0</v>
      </c>
      <c r="K118" s="49">
        <f>K121</f>
        <v>0</v>
      </c>
      <c r="L118" s="8"/>
      <c r="M118" s="19"/>
      <c r="P118" s="91">
        <v>770</v>
      </c>
    </row>
    <row r="119" spans="3:16" ht="12.75" x14ac:dyDescent="0.2">
      <c r="C119" s="2"/>
      <c r="D119" s="47" t="s">
        <v>242</v>
      </c>
      <c r="E119" s="42" t="s">
        <v>184</v>
      </c>
      <c r="F119" s="17" t="s">
        <v>243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>
        <v>780</v>
      </c>
    </row>
    <row r="120" spans="3:16" ht="12.75" x14ac:dyDescent="0.2">
      <c r="C120" s="2"/>
      <c r="D120" s="47" t="s">
        <v>244</v>
      </c>
      <c r="E120" s="43" t="s">
        <v>245</v>
      </c>
      <c r="F120" s="17" t="s">
        <v>246</v>
      </c>
      <c r="G120" s="18">
        <f t="shared" si="0"/>
        <v>0</v>
      </c>
      <c r="H120" s="48"/>
      <c r="I120" s="48"/>
      <c r="J120" s="48"/>
      <c r="K120" s="48"/>
      <c r="L120" s="8"/>
      <c r="M120" s="19"/>
      <c r="P120" s="91"/>
    </row>
    <row r="121" spans="3:16" ht="12.75" x14ac:dyDescent="0.2">
      <c r="C121" s="2"/>
      <c r="D121" s="47" t="s">
        <v>247</v>
      </c>
      <c r="E121" s="42" t="s">
        <v>190</v>
      </c>
      <c r="F121" s="17" t="s">
        <v>248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790</v>
      </c>
    </row>
    <row r="122" spans="3:16" ht="22.5" x14ac:dyDescent="0.2">
      <c r="C122" s="2"/>
      <c r="D122" s="47" t="s">
        <v>249</v>
      </c>
      <c r="E122" s="40" t="s">
        <v>250</v>
      </c>
      <c r="F122" s="17" t="s">
        <v>251</v>
      </c>
      <c r="G122" s="18">
        <f t="shared" si="0"/>
        <v>4662.2610000000004</v>
      </c>
      <c r="H122" s="49">
        <f>SUM(H123:H124)</f>
        <v>25.995999999999999</v>
      </c>
      <c r="I122" s="49">
        <f>SUM(I123:I124)</f>
        <v>3244.01</v>
      </c>
      <c r="J122" s="49">
        <f>SUM(J123:J124)</f>
        <v>862.27800000000002</v>
      </c>
      <c r="K122" s="49">
        <f>SUM(K123:K124)</f>
        <v>529.97699999999998</v>
      </c>
      <c r="L122" s="8"/>
      <c r="M122" s="19"/>
      <c r="P122" s="91"/>
    </row>
    <row r="123" spans="3:16" ht="12.75" x14ac:dyDescent="0.2">
      <c r="C123" s="2"/>
      <c r="D123" s="47" t="s">
        <v>252</v>
      </c>
      <c r="E123" s="20" t="s">
        <v>178</v>
      </c>
      <c r="F123" s="17" t="s">
        <v>253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/>
    </row>
    <row r="124" spans="3:16" ht="12.75" x14ac:dyDescent="0.2">
      <c r="C124" s="2"/>
      <c r="D124" s="47" t="s">
        <v>254</v>
      </c>
      <c r="E124" s="20" t="s">
        <v>181</v>
      </c>
      <c r="F124" s="17" t="s">
        <v>255</v>
      </c>
      <c r="G124" s="18">
        <f t="shared" si="0"/>
        <v>4662.2610000000004</v>
      </c>
      <c r="H124" s="49">
        <f>H126</f>
        <v>25.995999999999999</v>
      </c>
      <c r="I124" s="49">
        <f>I126</f>
        <v>3244.01</v>
      </c>
      <c r="J124" s="49">
        <f>J126</f>
        <v>862.27800000000002</v>
      </c>
      <c r="K124" s="49">
        <f>K126</f>
        <v>529.97699999999998</v>
      </c>
      <c r="L124" s="8"/>
      <c r="M124" s="19"/>
      <c r="P124" s="91"/>
    </row>
    <row r="125" spans="3:16" ht="12.75" x14ac:dyDescent="0.2">
      <c r="C125" s="2"/>
      <c r="D125" s="47" t="s">
        <v>256</v>
      </c>
      <c r="E125" s="42" t="s">
        <v>257</v>
      </c>
      <c r="F125" s="17" t="s">
        <v>258</v>
      </c>
      <c r="G125" s="18">
        <f t="shared" si="0"/>
        <v>25.006</v>
      </c>
      <c r="H125" s="48"/>
      <c r="I125" s="48">
        <f>I92</f>
        <v>25.006</v>
      </c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259</v>
      </c>
      <c r="E126" s="42" t="s">
        <v>190</v>
      </c>
      <c r="F126" s="17" t="s">
        <v>260</v>
      </c>
      <c r="G126" s="18">
        <f t="shared" si="0"/>
        <v>4662.2610000000004</v>
      </c>
      <c r="H126" s="48">
        <f>H47</f>
        <v>25.995999999999999</v>
      </c>
      <c r="I126" s="48">
        <f>I33-H47+G47-2.665</f>
        <v>3244.01</v>
      </c>
      <c r="J126" s="48">
        <f>J33+2.665</f>
        <v>862.27800000000002</v>
      </c>
      <c r="K126" s="48">
        <f>K33</f>
        <v>529.97699999999998</v>
      </c>
      <c r="L126" s="8"/>
      <c r="M126" s="19"/>
      <c r="P126" s="91"/>
    </row>
    <row r="127" spans="3:16" ht="12.75" x14ac:dyDescent="0.2">
      <c r="C127" s="2"/>
      <c r="D127" s="111" t="s">
        <v>261</v>
      </c>
      <c r="E127" s="112"/>
      <c r="F127" s="112"/>
      <c r="G127" s="112"/>
      <c r="H127" s="112"/>
      <c r="I127" s="112"/>
      <c r="J127" s="112"/>
      <c r="K127" s="113"/>
      <c r="L127" s="8"/>
      <c r="M127" s="19"/>
      <c r="P127" s="93"/>
    </row>
    <row r="128" spans="3:16" ht="22.5" x14ac:dyDescent="0.2">
      <c r="C128" s="2"/>
      <c r="D128" s="47" t="s">
        <v>262</v>
      </c>
      <c r="E128" s="16" t="s">
        <v>263</v>
      </c>
      <c r="F128" s="17" t="s">
        <v>264</v>
      </c>
      <c r="G128" s="18">
        <f t="shared" si="0"/>
        <v>0</v>
      </c>
      <c r="H128" s="49">
        <f>SUM( H129:H130)</f>
        <v>0</v>
      </c>
      <c r="I128" s="49">
        <f>SUM( I129:I130)</f>
        <v>0</v>
      </c>
      <c r="J128" s="49">
        <f>SUM( J129:J130)</f>
        <v>0</v>
      </c>
      <c r="K128" s="49">
        <f>SUM( K129:K130)</f>
        <v>0</v>
      </c>
      <c r="L128" s="8"/>
      <c r="M128" s="19"/>
      <c r="P128" s="91">
        <v>800</v>
      </c>
    </row>
    <row r="129" spans="3:16" ht="12.75" x14ac:dyDescent="0.2">
      <c r="C129" s="2"/>
      <c r="D129" s="47" t="s">
        <v>265</v>
      </c>
      <c r="E129" s="20" t="s">
        <v>178</v>
      </c>
      <c r="F129" s="17" t="s">
        <v>266</v>
      </c>
      <c r="G129" s="18">
        <f t="shared" si="0"/>
        <v>0</v>
      </c>
      <c r="H129" s="48"/>
      <c r="I129" s="48"/>
      <c r="J129" s="48"/>
      <c r="K129" s="48"/>
      <c r="L129" s="8"/>
      <c r="M129" s="19"/>
      <c r="P129" s="91">
        <v>810</v>
      </c>
    </row>
    <row r="130" spans="3:16" ht="12.75" x14ac:dyDescent="0.2">
      <c r="C130" s="2"/>
      <c r="D130" s="47" t="s">
        <v>267</v>
      </c>
      <c r="E130" s="20" t="s">
        <v>181</v>
      </c>
      <c r="F130" s="17" t="s">
        <v>268</v>
      </c>
      <c r="G130" s="18">
        <f t="shared" si="0"/>
        <v>0</v>
      </c>
      <c r="H130" s="49">
        <f>H131+H133</f>
        <v>0</v>
      </c>
      <c r="I130" s="49">
        <f>I131+I133</f>
        <v>0</v>
      </c>
      <c r="J130" s="49">
        <f>J131+J133</f>
        <v>0</v>
      </c>
      <c r="K130" s="49">
        <f>K131+K133</f>
        <v>0</v>
      </c>
      <c r="L130" s="8"/>
      <c r="M130" s="19"/>
      <c r="P130" s="91">
        <v>820</v>
      </c>
    </row>
    <row r="131" spans="3:16" ht="12.75" x14ac:dyDescent="0.2">
      <c r="C131" s="2"/>
      <c r="D131" s="47" t="s">
        <v>269</v>
      </c>
      <c r="E131" s="42" t="s">
        <v>270</v>
      </c>
      <c r="F131" s="17" t="s">
        <v>271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830</v>
      </c>
    </row>
    <row r="132" spans="3:16" ht="12.75" x14ac:dyDescent="0.2">
      <c r="C132" s="2"/>
      <c r="D132" s="47" t="s">
        <v>272</v>
      </c>
      <c r="E132" s="43" t="s">
        <v>273</v>
      </c>
      <c r="F132" s="17" t="s">
        <v>274</v>
      </c>
      <c r="G132" s="18">
        <f t="shared" si="0"/>
        <v>0</v>
      </c>
      <c r="H132" s="48"/>
      <c r="I132" s="48"/>
      <c r="J132" s="48"/>
      <c r="K132" s="48"/>
      <c r="L132" s="8"/>
      <c r="M132" s="19"/>
      <c r="P132" s="93"/>
    </row>
    <row r="133" spans="3:16" ht="12.75" x14ac:dyDescent="0.2">
      <c r="C133" s="2"/>
      <c r="D133" s="47" t="s">
        <v>275</v>
      </c>
      <c r="E133" s="42" t="s">
        <v>276</v>
      </c>
      <c r="F133" s="17" t="s">
        <v>277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840</v>
      </c>
    </row>
    <row r="134" spans="3:16" ht="12.75" x14ac:dyDescent="0.2">
      <c r="C134" s="2"/>
      <c r="D134" s="47" t="s">
        <v>19</v>
      </c>
      <c r="E134" s="16" t="s">
        <v>278</v>
      </c>
      <c r="F134" s="17" t="s">
        <v>279</v>
      </c>
      <c r="G134" s="18">
        <f t="shared" si="0"/>
        <v>0</v>
      </c>
      <c r="H134" s="50">
        <f>SUM( H135+H140)</f>
        <v>0</v>
      </c>
      <c r="I134" s="50">
        <f>SUM( I135+I140)</f>
        <v>0</v>
      </c>
      <c r="J134" s="50">
        <f>SUM( J135+J140)</f>
        <v>0</v>
      </c>
      <c r="K134" s="50">
        <f>SUM( K135+K140)</f>
        <v>0</v>
      </c>
      <c r="L134" s="52"/>
      <c r="M134" s="19"/>
      <c r="P134" s="91">
        <v>850</v>
      </c>
    </row>
    <row r="135" spans="3:16" ht="12.75" x14ac:dyDescent="0.2">
      <c r="C135" s="2"/>
      <c r="D135" s="47" t="s">
        <v>280</v>
      </c>
      <c r="E135" s="20" t="s">
        <v>178</v>
      </c>
      <c r="F135" s="17" t="s">
        <v>281</v>
      </c>
      <c r="G135" s="18">
        <f t="shared" ref="G135:G148" si="1">SUM(H135:K135)</f>
        <v>0</v>
      </c>
      <c r="H135" s="50">
        <f>SUM( H136:H137)</f>
        <v>0</v>
      </c>
      <c r="I135" s="50">
        <f>SUM( I136:I137)</f>
        <v>0</v>
      </c>
      <c r="J135" s="50">
        <f>SUM( J136:J137)</f>
        <v>0</v>
      </c>
      <c r="K135" s="50">
        <f>SUM( K136:K137)</f>
        <v>0</v>
      </c>
      <c r="L135" s="52"/>
      <c r="M135" s="19"/>
      <c r="P135" s="91">
        <v>860</v>
      </c>
    </row>
    <row r="136" spans="3:16" ht="12.75" x14ac:dyDescent="0.2">
      <c r="C136" s="2"/>
      <c r="D136" s="47" t="s">
        <v>282</v>
      </c>
      <c r="E136" s="42" t="s">
        <v>199</v>
      </c>
      <c r="F136" s="17" t="s">
        <v>283</v>
      </c>
      <c r="G136" s="18">
        <f t="shared" si="1"/>
        <v>0</v>
      </c>
      <c r="H136" s="53"/>
      <c r="I136" s="53"/>
      <c r="J136" s="53"/>
      <c r="K136" s="53"/>
      <c r="L136" s="52"/>
      <c r="M136" s="19"/>
      <c r="P136" s="91"/>
    </row>
    <row r="137" spans="3:16" ht="12.75" x14ac:dyDescent="0.2">
      <c r="C137" s="2"/>
      <c r="D137" s="47" t="s">
        <v>284</v>
      </c>
      <c r="E137" s="42" t="s">
        <v>202</v>
      </c>
      <c r="F137" s="17" t="s">
        <v>285</v>
      </c>
      <c r="G137" s="18">
        <f t="shared" si="1"/>
        <v>0</v>
      </c>
      <c r="H137" s="50">
        <f>H138+H139</f>
        <v>0</v>
      </c>
      <c r="I137" s="50">
        <f>I138+I139</f>
        <v>0</v>
      </c>
      <c r="J137" s="50">
        <f>J138+J139</f>
        <v>0</v>
      </c>
      <c r="K137" s="50">
        <f>K138+K139</f>
        <v>0</v>
      </c>
      <c r="L137" s="52"/>
      <c r="M137" s="19"/>
      <c r="P137" s="91"/>
    </row>
    <row r="138" spans="3:16" ht="12.75" x14ac:dyDescent="0.2">
      <c r="C138" s="2"/>
      <c r="D138" s="47" t="s">
        <v>286</v>
      </c>
      <c r="E138" s="43" t="s">
        <v>208</v>
      </c>
      <c r="F138" s="17" t="s">
        <v>287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288</v>
      </c>
      <c r="E139" s="43" t="s">
        <v>289</v>
      </c>
      <c r="F139" s="17" t="s">
        <v>290</v>
      </c>
      <c r="G139" s="18">
        <f t="shared" si="1"/>
        <v>0</v>
      </c>
      <c r="H139" s="53"/>
      <c r="I139" s="53"/>
      <c r="J139" s="53"/>
      <c r="K139" s="53"/>
      <c r="L139" s="52"/>
      <c r="M139" s="19"/>
      <c r="P139" s="91"/>
    </row>
    <row r="140" spans="3:16" ht="12.75" x14ac:dyDescent="0.2">
      <c r="C140" s="2"/>
      <c r="D140" s="47" t="s">
        <v>291</v>
      </c>
      <c r="E140" s="20" t="s">
        <v>240</v>
      </c>
      <c r="F140" s="17" t="s">
        <v>292</v>
      </c>
      <c r="G140" s="18">
        <f t="shared" si="1"/>
        <v>0</v>
      </c>
      <c r="H140" s="50">
        <f>H141+H143</f>
        <v>0</v>
      </c>
      <c r="I140" s="50">
        <f>I141+I143</f>
        <v>0</v>
      </c>
      <c r="J140" s="50">
        <f>J141+J143</f>
        <v>0</v>
      </c>
      <c r="K140" s="50">
        <f>K141+K143</f>
        <v>0</v>
      </c>
      <c r="L140" s="52"/>
      <c r="M140" s="19"/>
      <c r="P140" s="91">
        <v>870</v>
      </c>
    </row>
    <row r="141" spans="3:16" ht="12.75" x14ac:dyDescent="0.2">
      <c r="C141" s="2"/>
      <c r="D141" s="47" t="s">
        <v>293</v>
      </c>
      <c r="E141" s="42" t="s">
        <v>270</v>
      </c>
      <c r="F141" s="17" t="s">
        <v>294</v>
      </c>
      <c r="G141" s="18">
        <f t="shared" si="1"/>
        <v>0</v>
      </c>
      <c r="H141" s="48"/>
      <c r="I141" s="48"/>
      <c r="J141" s="48"/>
      <c r="K141" s="48"/>
      <c r="L141" s="52"/>
      <c r="M141" s="19"/>
      <c r="P141" s="91">
        <v>880</v>
      </c>
    </row>
    <row r="142" spans="3:16" ht="12.75" x14ac:dyDescent="0.2">
      <c r="C142" s="2"/>
      <c r="D142" s="47" t="s">
        <v>295</v>
      </c>
      <c r="E142" s="43" t="s">
        <v>273</v>
      </c>
      <c r="F142" s="17" t="s">
        <v>296</v>
      </c>
      <c r="G142" s="18">
        <f t="shared" si="1"/>
        <v>0</v>
      </c>
      <c r="H142" s="48"/>
      <c r="I142" s="48"/>
      <c r="J142" s="48"/>
      <c r="K142" s="48"/>
      <c r="L142" s="52"/>
      <c r="M142" s="19"/>
      <c r="P142" s="91"/>
    </row>
    <row r="143" spans="3:16" ht="12.75" x14ac:dyDescent="0.2">
      <c r="C143" s="2"/>
      <c r="D143" s="47" t="s">
        <v>297</v>
      </c>
      <c r="E143" s="42" t="s">
        <v>276</v>
      </c>
      <c r="F143" s="17" t="s">
        <v>298</v>
      </c>
      <c r="G143" s="18">
        <f t="shared" si="1"/>
        <v>0</v>
      </c>
      <c r="H143" s="54"/>
      <c r="I143" s="54"/>
      <c r="J143" s="54"/>
      <c r="K143" s="54"/>
      <c r="L143" s="52"/>
      <c r="M143" s="19"/>
      <c r="P143" s="91">
        <v>890</v>
      </c>
    </row>
    <row r="144" spans="3:16" ht="22.5" x14ac:dyDescent="0.2">
      <c r="C144" s="2"/>
      <c r="D144" s="47" t="s">
        <v>299</v>
      </c>
      <c r="E144" s="16" t="s">
        <v>300</v>
      </c>
      <c r="F144" s="17" t="s">
        <v>301</v>
      </c>
      <c r="G144" s="18">
        <f t="shared" si="1"/>
        <v>3488.1039073920001</v>
      </c>
      <c r="H144" s="55">
        <f>SUM( H145:H146)</f>
        <v>2.77325328</v>
      </c>
      <c r="I144" s="55">
        <f>SUM( I145:I146)</f>
        <v>3336.8048907119996</v>
      </c>
      <c r="J144" s="55">
        <f>SUM( J145:J146)</f>
        <v>91.987817039999996</v>
      </c>
      <c r="K144" s="55">
        <f>SUM( K145:K146)</f>
        <v>56.537946359999999</v>
      </c>
      <c r="L144" s="52"/>
      <c r="M144" s="19"/>
      <c r="P144" s="91">
        <v>900</v>
      </c>
    </row>
    <row r="145" spans="3:19" ht="12.75" x14ac:dyDescent="0.2">
      <c r="C145" s="2"/>
      <c r="D145" s="47" t="s">
        <v>302</v>
      </c>
      <c r="E145" s="20" t="s">
        <v>178</v>
      </c>
      <c r="F145" s="17" t="s">
        <v>303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/>
    </row>
    <row r="146" spans="3:19" ht="12.75" x14ac:dyDescent="0.2">
      <c r="C146" s="2"/>
      <c r="D146" s="47" t="s">
        <v>304</v>
      </c>
      <c r="E146" s="20" t="s">
        <v>181</v>
      </c>
      <c r="F146" s="17" t="s">
        <v>305</v>
      </c>
      <c r="G146" s="18">
        <f t="shared" si="1"/>
        <v>3488.1039073920001</v>
      </c>
      <c r="H146" s="55">
        <f>H147+H148</f>
        <v>2.77325328</v>
      </c>
      <c r="I146" s="55">
        <f>I147+I148</f>
        <v>3336.8048907119996</v>
      </c>
      <c r="J146" s="55">
        <f>J147+J148</f>
        <v>91.987817039999996</v>
      </c>
      <c r="K146" s="55">
        <f>K147+K148</f>
        <v>56.537946359999999</v>
      </c>
      <c r="L146" s="52"/>
      <c r="M146" s="19"/>
      <c r="P146" s="91"/>
    </row>
    <row r="147" spans="3:19" ht="12.75" x14ac:dyDescent="0.2">
      <c r="C147" s="2"/>
      <c r="D147" s="47" t="s">
        <v>306</v>
      </c>
      <c r="E147" s="42" t="s">
        <v>307</v>
      </c>
      <c r="F147" s="17" t="s">
        <v>308</v>
      </c>
      <c r="G147" s="18">
        <f t="shared" si="1"/>
        <v>2990.7339039119997</v>
      </c>
      <c r="H147" s="54"/>
      <c r="I147" s="54">
        <f>I125*99667.21/1000*1.2</f>
        <v>2990.7339039119997</v>
      </c>
      <c r="J147" s="54"/>
      <c r="K147" s="54"/>
      <c r="L147" s="52"/>
      <c r="M147" s="19"/>
      <c r="P147" s="91" t="s">
        <v>338</v>
      </c>
    </row>
    <row r="148" spans="3:19" ht="12.75" x14ac:dyDescent="0.2">
      <c r="C148" s="2"/>
      <c r="D148" s="47" t="s">
        <v>309</v>
      </c>
      <c r="E148" s="42" t="s">
        <v>276</v>
      </c>
      <c r="F148" s="17" t="s">
        <v>310</v>
      </c>
      <c r="G148" s="18">
        <f t="shared" si="1"/>
        <v>497.37000348000004</v>
      </c>
      <c r="H148" s="54">
        <f>H126*88.9/1000*1.2</f>
        <v>2.77325328</v>
      </c>
      <c r="I148" s="54">
        <f>I126*88.9/1000*1.2</f>
        <v>346.07098680000007</v>
      </c>
      <c r="J148" s="54">
        <f>J126*88.9/1000*1.2</f>
        <v>91.987817039999996</v>
      </c>
      <c r="K148" s="54">
        <f>K126*88.9/1000*1.2</f>
        <v>56.537946359999999</v>
      </c>
      <c r="L148" s="52"/>
      <c r="M148" s="19"/>
      <c r="P148" s="91" t="s">
        <v>339</v>
      </c>
    </row>
    <row r="149" spans="3:19" x14ac:dyDescent="0.25">
      <c r="D149" s="6"/>
      <c r="E149" s="56"/>
      <c r="F149" s="56"/>
      <c r="G149" s="56"/>
      <c r="H149" s="56"/>
      <c r="I149" s="56"/>
      <c r="J149" s="56"/>
      <c r="K149" s="57"/>
      <c r="L149" s="57"/>
      <c r="M149" s="57"/>
      <c r="N149" s="57"/>
      <c r="O149" s="57"/>
      <c r="P149" s="57"/>
      <c r="Q149" s="57"/>
      <c r="R149" s="94"/>
      <c r="S149" s="94"/>
    </row>
    <row r="150" spans="3:19" ht="12.75" x14ac:dyDescent="0.2">
      <c r="E150" s="19" t="s">
        <v>311</v>
      </c>
      <c r="F150" s="103" t="str">
        <f>IF([2]Титульный!G45="","",[2]Титульный!G45)</f>
        <v>экономист</v>
      </c>
      <c r="G150" s="103"/>
      <c r="H150" s="58"/>
      <c r="I150" s="103" t="str">
        <f>IF([2]Титульный!G44="","",[2]Титульный!G44)</f>
        <v>Коробкова Е. В.</v>
      </c>
      <c r="J150" s="103"/>
      <c r="K150" s="103"/>
      <c r="L150" s="58"/>
      <c r="M150" s="59"/>
      <c r="N150" s="59"/>
      <c r="O150" s="61"/>
      <c r="P150" s="57"/>
      <c r="Q150" s="57"/>
      <c r="R150" s="94"/>
      <c r="S150" s="94"/>
    </row>
    <row r="151" spans="3:19" ht="12.75" x14ac:dyDescent="0.2">
      <c r="E151" s="60" t="s">
        <v>312</v>
      </c>
      <c r="F151" s="102" t="s">
        <v>313</v>
      </c>
      <c r="G151" s="102"/>
      <c r="H151" s="61"/>
      <c r="I151" s="102" t="s">
        <v>314</v>
      </c>
      <c r="J151" s="102"/>
      <c r="K151" s="102"/>
      <c r="L151" s="61"/>
      <c r="M151" s="102" t="s">
        <v>315</v>
      </c>
      <c r="N151" s="102"/>
      <c r="O151" s="19"/>
      <c r="P151" s="57"/>
      <c r="Q151" s="57"/>
      <c r="R151" s="94"/>
      <c r="S151" s="94"/>
    </row>
    <row r="152" spans="3:19" ht="12.75" x14ac:dyDescent="0.2">
      <c r="E152" s="60" t="s">
        <v>316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57"/>
      <c r="Q152" s="57"/>
      <c r="R152" s="94"/>
      <c r="S152" s="94"/>
    </row>
    <row r="153" spans="3:19" ht="12.75" x14ac:dyDescent="0.2">
      <c r="E153" s="60" t="s">
        <v>317</v>
      </c>
      <c r="F153" s="103" t="str">
        <f>IF([2]Титульный!G46="","",[2]Титульный!G46)</f>
        <v>(861) 258-50-71</v>
      </c>
      <c r="G153" s="103"/>
      <c r="H153" s="103"/>
      <c r="I153" s="19"/>
      <c r="J153" s="60" t="s">
        <v>318</v>
      </c>
      <c r="K153" s="62"/>
      <c r="L153" s="19"/>
      <c r="M153" s="19"/>
      <c r="N153" s="19"/>
      <c r="O153" s="19"/>
      <c r="P153" s="57"/>
      <c r="Q153" s="57"/>
      <c r="R153" s="94"/>
      <c r="S153" s="94"/>
    </row>
    <row r="154" spans="3:19" ht="12.75" x14ac:dyDescent="0.2">
      <c r="E154" s="19" t="s">
        <v>319</v>
      </c>
      <c r="F154" s="104" t="s">
        <v>320</v>
      </c>
      <c r="G154" s="104"/>
      <c r="H154" s="104"/>
      <c r="I154" s="19"/>
      <c r="J154" s="63" t="s">
        <v>321</v>
      </c>
      <c r="K154" s="63"/>
      <c r="L154" s="19"/>
      <c r="M154" s="19"/>
      <c r="N154" s="19"/>
      <c r="O154" s="19"/>
      <c r="P154" s="57"/>
      <c r="Q154" s="57"/>
      <c r="R154" s="94"/>
      <c r="S154" s="94"/>
    </row>
    <row r="155" spans="3:19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94"/>
      <c r="S155" s="94"/>
    </row>
    <row r="156" spans="3:19" x14ac:dyDescent="0.25"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5:19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</sheetData>
  <mergeCells count="18">
    <mergeCell ref="F151:G151"/>
    <mergeCell ref="I151:K151"/>
    <mergeCell ref="M151:N151"/>
    <mergeCell ref="F153:H153"/>
    <mergeCell ref="F154:H154"/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15:K18 G53:K56 G81:K89 G95:K126 G61:K63 G43:K51 G27:K41 G128:K148 G58:K59 G20:K21 G65:K7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3"/>
  <sheetViews>
    <sheetView topLeftCell="C115" workbookViewId="0">
      <selection activeCell="K149" sqref="K14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" t="s">
        <v>7</v>
      </c>
      <c r="I12" s="9" t="s">
        <v>8</v>
      </c>
      <c r="J12" s="9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5502.7710000000006</v>
      </c>
      <c r="H15" s="18">
        <f>H16+H17+H20+H23</f>
        <v>810.005</v>
      </c>
      <c r="I15" s="18">
        <f>I16+I17+I20+I23</f>
        <v>4444.9790000000003</v>
      </c>
      <c r="J15" s="18">
        <f>J16+J17+J20+J23</f>
        <v>247.78700000000001</v>
      </c>
      <c r="K15" s="18">
        <f>K16+K17+K20+K23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4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</v>
      </c>
      <c r="H17" s="18">
        <f>SUM(H18:H19)</f>
        <v>0</v>
      </c>
      <c r="I17" s="18">
        <f>SUM(I18:I19)</f>
        <v>0</v>
      </c>
      <c r="J17" s="18">
        <f>SUM(J18:J19)</f>
        <v>0</v>
      </c>
      <c r="K17" s="18">
        <f>SUM(K18:K19)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2.75" x14ac:dyDescent="0.2">
      <c r="C19" s="12"/>
      <c r="D19" s="26"/>
      <c r="E19" s="27" t="s">
        <v>20</v>
      </c>
      <c r="F19" s="28"/>
      <c r="G19" s="28"/>
      <c r="H19" s="28"/>
      <c r="I19" s="28"/>
      <c r="J19" s="28"/>
      <c r="K19" s="29"/>
      <c r="L19" s="13"/>
      <c r="M19" s="19"/>
      <c r="P19" s="92"/>
    </row>
    <row r="20" spans="3:16" s="14" customFormat="1" ht="12.75" x14ac:dyDescent="0.2">
      <c r="C20" s="12"/>
      <c r="D20" s="15" t="s">
        <v>21</v>
      </c>
      <c r="E20" s="20" t="s">
        <v>22</v>
      </c>
      <c r="F20" s="17" t="s">
        <v>23</v>
      </c>
      <c r="G20" s="18">
        <f t="shared" si="0"/>
        <v>0</v>
      </c>
      <c r="H20" s="18">
        <f>SUM(H21:H22)</f>
        <v>0</v>
      </c>
      <c r="I20" s="18">
        <f>SUM(I21:I22)</f>
        <v>0</v>
      </c>
      <c r="J20" s="18">
        <f>SUM(J21:J22)</f>
        <v>0</v>
      </c>
      <c r="K20" s="18">
        <f>SUM(K21:K22)</f>
        <v>0</v>
      </c>
      <c r="L20" s="13"/>
      <c r="M20" s="19"/>
      <c r="P20" s="92"/>
    </row>
    <row r="21" spans="3:16" s="14" customFormat="1" ht="12.75" x14ac:dyDescent="0.2">
      <c r="C21" s="12"/>
      <c r="D21" s="22" t="s">
        <v>24</v>
      </c>
      <c r="E21" s="23"/>
      <c r="F21" s="24" t="s">
        <v>23</v>
      </c>
      <c r="G21" s="25"/>
      <c r="H21" s="25"/>
      <c r="I21" s="25"/>
      <c r="J21" s="25"/>
      <c r="K21" s="25"/>
      <c r="L21" s="13"/>
      <c r="M21" s="19"/>
      <c r="P21" s="91"/>
    </row>
    <row r="22" spans="3:16" s="14" customFormat="1" ht="12.75" x14ac:dyDescent="0.2">
      <c r="C22" s="12"/>
      <c r="D22" s="26"/>
      <c r="E22" s="27" t="s">
        <v>20</v>
      </c>
      <c r="F22" s="28"/>
      <c r="G22" s="28"/>
      <c r="H22" s="28"/>
      <c r="I22" s="28"/>
      <c r="J22" s="28"/>
      <c r="K22" s="29"/>
      <c r="L22" s="13"/>
      <c r="M22" s="19"/>
      <c r="P22" s="92"/>
    </row>
    <row r="23" spans="3:16" s="14" customFormat="1" ht="12.75" x14ac:dyDescent="0.2">
      <c r="C23" s="12"/>
      <c r="D23" s="15" t="s">
        <v>25</v>
      </c>
      <c r="E23" s="20" t="s">
        <v>26</v>
      </c>
      <c r="F23" s="17" t="s">
        <v>27</v>
      </c>
      <c r="G23" s="18">
        <f t="shared" si="0"/>
        <v>5502.7710000000006</v>
      </c>
      <c r="H23" s="18">
        <f>SUM(H24:H26)</f>
        <v>810.005</v>
      </c>
      <c r="I23" s="18">
        <f>SUM(I24:I26)</f>
        <v>4444.9790000000003</v>
      </c>
      <c r="J23" s="18">
        <f>SUM(J24:J26)</f>
        <v>247.78700000000001</v>
      </c>
      <c r="K23" s="18">
        <f>SUM(K24:K26)</f>
        <v>0</v>
      </c>
      <c r="L23" s="13"/>
      <c r="M23" s="19"/>
      <c r="P23" s="91">
        <v>40</v>
      </c>
    </row>
    <row r="24" spans="3:16" s="14" customFormat="1" ht="12.75" x14ac:dyDescent="0.2">
      <c r="C24" s="12"/>
      <c r="D24" s="22" t="s">
        <v>28</v>
      </c>
      <c r="E24" s="23"/>
      <c r="F24" s="24" t="s">
        <v>27</v>
      </c>
      <c r="G24" s="25"/>
      <c r="H24" s="25"/>
      <c r="I24" s="25"/>
      <c r="J24" s="25"/>
      <c r="K24" s="25"/>
      <c r="L24" s="13"/>
      <c r="M24" s="19"/>
      <c r="P24" s="91"/>
    </row>
    <row r="25" spans="3:16" s="14" customFormat="1" ht="15" x14ac:dyDescent="0.25">
      <c r="C25" s="30" t="s">
        <v>29</v>
      </c>
      <c r="D25" s="31" t="s">
        <v>30</v>
      </c>
      <c r="E25" s="32" t="s">
        <v>31</v>
      </c>
      <c r="F25" s="33">
        <v>431</v>
      </c>
      <c r="G25" s="34">
        <f>SUM(H25:K25)</f>
        <v>5502.7710000000006</v>
      </c>
      <c r="H25" s="35">
        <v>810.005</v>
      </c>
      <c r="I25" s="35">
        <v>4444.9790000000003</v>
      </c>
      <c r="J25" s="35">
        <v>247.78700000000001</v>
      </c>
      <c r="K25" s="36"/>
      <c r="L25" s="13"/>
      <c r="M25" s="37" t="s">
        <v>32</v>
      </c>
      <c r="N25" s="38" t="s">
        <v>33</v>
      </c>
      <c r="O25" s="38" t="s">
        <v>336</v>
      </c>
    </row>
    <row r="26" spans="3:16" s="14" customFormat="1" ht="12.75" x14ac:dyDescent="0.2">
      <c r="C26" s="12"/>
      <c r="D26" s="26"/>
      <c r="E26" s="27" t="s">
        <v>20</v>
      </c>
      <c r="F26" s="28"/>
      <c r="G26" s="28"/>
      <c r="H26" s="28"/>
      <c r="I26" s="28"/>
      <c r="J26" s="28"/>
      <c r="K26" s="29"/>
      <c r="L26" s="13"/>
      <c r="M26" s="19"/>
      <c r="P26" s="91"/>
    </row>
    <row r="27" spans="3:16" s="14" customFormat="1" ht="12.75" x14ac:dyDescent="0.2">
      <c r="C27" s="12"/>
      <c r="D27" s="15" t="s">
        <v>34</v>
      </c>
      <c r="E27" s="16" t="s">
        <v>35</v>
      </c>
      <c r="F27" s="17" t="s">
        <v>36</v>
      </c>
      <c r="G27" s="18">
        <f t="shared" si="0"/>
        <v>2342.7529999999997</v>
      </c>
      <c r="H27" s="18">
        <f>H29+H30+H31</f>
        <v>0</v>
      </c>
      <c r="I27" s="18">
        <f>I28+I30+I31</f>
        <v>0</v>
      </c>
      <c r="J27" s="18">
        <f>J28+J29+J31</f>
        <v>1637.7809999999999</v>
      </c>
      <c r="K27" s="18">
        <f>K28+K29+K30</f>
        <v>704.97199999999998</v>
      </c>
      <c r="L27" s="13"/>
      <c r="M27" s="19"/>
      <c r="P27" s="91">
        <v>50</v>
      </c>
    </row>
    <row r="28" spans="3:16" s="14" customFormat="1" ht="12.75" x14ac:dyDescent="0.2">
      <c r="C28" s="12"/>
      <c r="D28" s="15" t="s">
        <v>37</v>
      </c>
      <c r="E28" s="20" t="s">
        <v>7</v>
      </c>
      <c r="F28" s="17" t="s">
        <v>38</v>
      </c>
      <c r="G28" s="18">
        <f t="shared" si="0"/>
        <v>777.78099999999995</v>
      </c>
      <c r="H28" s="39"/>
      <c r="I28" s="21"/>
      <c r="J28" s="21">
        <f>H44</f>
        <v>777.78099999999995</v>
      </c>
      <c r="K28" s="21"/>
      <c r="L28" s="13"/>
      <c r="M28" s="19"/>
      <c r="P28" s="91">
        <v>60</v>
      </c>
    </row>
    <row r="29" spans="3:16" s="14" customFormat="1" ht="12.75" x14ac:dyDescent="0.2">
      <c r="C29" s="12"/>
      <c r="D29" s="15" t="s">
        <v>39</v>
      </c>
      <c r="E29" s="20" t="s">
        <v>8</v>
      </c>
      <c r="F29" s="17" t="s">
        <v>40</v>
      </c>
      <c r="G29" s="18">
        <f t="shared" si="0"/>
        <v>860.00000000000011</v>
      </c>
      <c r="H29" s="21"/>
      <c r="I29" s="39"/>
      <c r="J29" s="21">
        <f>I25-I33-I47</f>
        <v>860.00000000000011</v>
      </c>
      <c r="K29" s="21"/>
      <c r="L29" s="13"/>
      <c r="M29" s="19"/>
      <c r="P29" s="91">
        <v>70</v>
      </c>
    </row>
    <row r="30" spans="3:16" s="14" customFormat="1" ht="12.75" x14ac:dyDescent="0.2">
      <c r="C30" s="12"/>
      <c r="D30" s="15" t="s">
        <v>41</v>
      </c>
      <c r="E30" s="20" t="s">
        <v>9</v>
      </c>
      <c r="F30" s="17" t="s">
        <v>42</v>
      </c>
      <c r="G30" s="18">
        <f t="shared" si="0"/>
        <v>704.97199999999998</v>
      </c>
      <c r="H30" s="21"/>
      <c r="I30" s="21"/>
      <c r="J30" s="39"/>
      <c r="K30" s="21">
        <f>J23+J27-J47-J33</f>
        <v>704.97199999999998</v>
      </c>
      <c r="L30" s="13"/>
      <c r="M30" s="19"/>
      <c r="P30" s="91">
        <v>80</v>
      </c>
    </row>
    <row r="31" spans="3:16" s="14" customFormat="1" ht="12.75" x14ac:dyDescent="0.2">
      <c r="C31" s="12"/>
      <c r="D31" s="15" t="s">
        <v>43</v>
      </c>
      <c r="E31" s="20" t="s">
        <v>44</v>
      </c>
      <c r="F31" s="17" t="s">
        <v>45</v>
      </c>
      <c r="G31" s="18">
        <f t="shared" si="0"/>
        <v>0</v>
      </c>
      <c r="H31" s="21"/>
      <c r="I31" s="21"/>
      <c r="J31" s="21"/>
      <c r="K31" s="39"/>
      <c r="L31" s="13"/>
      <c r="M31" s="19"/>
      <c r="P31" s="91">
        <v>90</v>
      </c>
    </row>
    <row r="32" spans="3:16" s="14" customFormat="1" ht="12.75" x14ac:dyDescent="0.2">
      <c r="C32" s="12"/>
      <c r="D32" s="15" t="s">
        <v>46</v>
      </c>
      <c r="E32" s="40" t="s">
        <v>47</v>
      </c>
      <c r="F32" s="17" t="s">
        <v>48</v>
      </c>
      <c r="G32" s="18">
        <f t="shared" si="0"/>
        <v>0</v>
      </c>
      <c r="H32" s="21"/>
      <c r="I32" s="21"/>
      <c r="J32" s="21"/>
      <c r="K32" s="21"/>
      <c r="L32" s="13"/>
      <c r="M32" s="19"/>
      <c r="P32" s="91"/>
    </row>
    <row r="33" spans="3:16" s="14" customFormat="1" ht="12.75" x14ac:dyDescent="0.2">
      <c r="C33" s="12"/>
      <c r="D33" s="15" t="s">
        <v>49</v>
      </c>
      <c r="E33" s="16" t="s">
        <v>50</v>
      </c>
      <c r="F33" s="41" t="s">
        <v>51</v>
      </c>
      <c r="G33" s="18">
        <f t="shared" si="0"/>
        <v>5309.4350000000004</v>
      </c>
      <c r="H33" s="18">
        <f>H34+H36+H39+H43</f>
        <v>0</v>
      </c>
      <c r="I33" s="18">
        <f>I34+I36+I39+I43</f>
        <v>3555.2330000000002</v>
      </c>
      <c r="J33" s="18">
        <f>J34+J36+J39+J43</f>
        <v>1113.6780000000001</v>
      </c>
      <c r="K33" s="18">
        <f>K34+K36+K39+K43</f>
        <v>640.524</v>
      </c>
      <c r="L33" s="13"/>
      <c r="M33" s="19"/>
      <c r="P33" s="91">
        <v>100</v>
      </c>
    </row>
    <row r="34" spans="3:16" s="14" customFormat="1" ht="22.5" x14ac:dyDescent="0.2">
      <c r="C34" s="12"/>
      <c r="D34" s="15" t="s">
        <v>52</v>
      </c>
      <c r="E34" s="20" t="s">
        <v>53</v>
      </c>
      <c r="F34" s="17" t="s">
        <v>54</v>
      </c>
      <c r="G34" s="18">
        <f t="shared" si="0"/>
        <v>0</v>
      </c>
      <c r="H34" s="21"/>
      <c r="I34" s="21"/>
      <c r="J34" s="21"/>
      <c r="K34" s="21"/>
      <c r="L34" s="13"/>
      <c r="M34" s="19"/>
      <c r="P34" s="91"/>
    </row>
    <row r="35" spans="3:16" s="14" customFormat="1" ht="12.75" x14ac:dyDescent="0.2">
      <c r="C35" s="12"/>
      <c r="D35" s="15" t="s">
        <v>55</v>
      </c>
      <c r="E35" s="42" t="s">
        <v>56</v>
      </c>
      <c r="F35" s="17" t="s">
        <v>57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58</v>
      </c>
      <c r="E36" s="20" t="s">
        <v>59</v>
      </c>
      <c r="F36" s="17" t="s">
        <v>60</v>
      </c>
      <c r="G36" s="18">
        <f t="shared" si="0"/>
        <v>2479.0440000000003</v>
      </c>
      <c r="H36" s="21">
        <v>0</v>
      </c>
      <c r="I36" s="21">
        <f>3555.233-I41</f>
        <v>724.8420000000001</v>
      </c>
      <c r="J36" s="21">
        <v>1113.6780000000001</v>
      </c>
      <c r="K36" s="21">
        <v>640.524</v>
      </c>
      <c r="L36" s="13"/>
      <c r="M36" s="19"/>
      <c r="P36" s="91"/>
    </row>
    <row r="37" spans="3:16" s="14" customFormat="1" ht="12.75" x14ac:dyDescent="0.2">
      <c r="C37" s="12"/>
      <c r="D37" s="15" t="s">
        <v>61</v>
      </c>
      <c r="E37" s="42" t="s">
        <v>62</v>
      </c>
      <c r="F37" s="17" t="s">
        <v>63</v>
      </c>
      <c r="G37" s="18">
        <f t="shared" si="0"/>
        <v>0</v>
      </c>
      <c r="H37" s="21"/>
      <c r="I37" s="21"/>
      <c r="J37" s="21"/>
      <c r="K37" s="21"/>
      <c r="L37" s="13"/>
      <c r="M37" s="19"/>
      <c r="P37" s="91"/>
    </row>
    <row r="38" spans="3:16" s="14" customFormat="1" ht="12.75" x14ac:dyDescent="0.2">
      <c r="C38" s="12"/>
      <c r="D38" s="15" t="s">
        <v>64</v>
      </c>
      <c r="E38" s="43" t="s">
        <v>56</v>
      </c>
      <c r="F38" s="17" t="s">
        <v>65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66</v>
      </c>
      <c r="E39" s="20" t="s">
        <v>67</v>
      </c>
      <c r="F39" s="17" t="s">
        <v>68</v>
      </c>
      <c r="G39" s="18">
        <f t="shared" si="0"/>
        <v>2830.3910000000001</v>
      </c>
      <c r="H39" s="18">
        <f>SUM(H40:H42)</f>
        <v>0</v>
      </c>
      <c r="I39" s="18">
        <f>SUM(I40:I42)</f>
        <v>2830.3910000000001</v>
      </c>
      <c r="J39" s="18">
        <f>SUM(J40:J42)</f>
        <v>0</v>
      </c>
      <c r="K39" s="18">
        <f>SUM(K40:K42)</f>
        <v>0</v>
      </c>
      <c r="L39" s="13"/>
      <c r="M39" s="19"/>
      <c r="P39" s="91"/>
    </row>
    <row r="40" spans="3:16" s="14" customFormat="1" ht="12.75" x14ac:dyDescent="0.2">
      <c r="C40" s="12"/>
      <c r="D40" s="22" t="s">
        <v>69</v>
      </c>
      <c r="E40" s="23"/>
      <c r="F40" s="24" t="s">
        <v>68</v>
      </c>
      <c r="G40" s="25"/>
      <c r="H40" s="25"/>
      <c r="I40" s="25"/>
      <c r="J40" s="25"/>
      <c r="K40" s="25"/>
      <c r="L40" s="13"/>
      <c r="M40" s="19"/>
      <c r="P40" s="91"/>
    </row>
    <row r="41" spans="3:16" s="14" customFormat="1" ht="15" x14ac:dyDescent="0.25">
      <c r="C41" s="30" t="s">
        <v>29</v>
      </c>
      <c r="D41" s="31" t="s">
        <v>70</v>
      </c>
      <c r="E41" s="32" t="s">
        <v>71</v>
      </c>
      <c r="F41" s="33">
        <v>751</v>
      </c>
      <c r="G41" s="34">
        <f>SUM(H41:K41)</f>
        <v>2830.3910000000001</v>
      </c>
      <c r="H41" s="35"/>
      <c r="I41" s="35">
        <v>2830.3910000000001</v>
      </c>
      <c r="J41" s="35"/>
      <c r="K41" s="36"/>
      <c r="L41" s="13"/>
      <c r="M41" s="37" t="s">
        <v>72</v>
      </c>
      <c r="N41" s="38" t="s">
        <v>73</v>
      </c>
      <c r="O41" s="38" t="s">
        <v>337</v>
      </c>
    </row>
    <row r="42" spans="3:16" s="14" customFormat="1" ht="12.75" x14ac:dyDescent="0.2">
      <c r="C42" s="12"/>
      <c r="D42" s="44"/>
      <c r="E42" s="27" t="s">
        <v>20</v>
      </c>
      <c r="F42" s="28"/>
      <c r="G42" s="28"/>
      <c r="H42" s="28"/>
      <c r="I42" s="28"/>
      <c r="J42" s="28"/>
      <c r="K42" s="29"/>
      <c r="L42" s="13"/>
      <c r="M42" s="19"/>
      <c r="P42" s="91"/>
    </row>
    <row r="43" spans="3:16" s="14" customFormat="1" ht="12.75" x14ac:dyDescent="0.2">
      <c r="C43" s="12"/>
      <c r="D43" s="15" t="s">
        <v>74</v>
      </c>
      <c r="E43" s="45" t="s">
        <v>75</v>
      </c>
      <c r="F43" s="17" t="s">
        <v>76</v>
      </c>
      <c r="G43" s="18">
        <f t="shared" si="0"/>
        <v>0</v>
      </c>
      <c r="H43" s="21"/>
      <c r="I43" s="21"/>
      <c r="J43" s="21"/>
      <c r="K43" s="21"/>
      <c r="L43" s="13"/>
      <c r="M43" s="19"/>
      <c r="P43" s="91">
        <v>120</v>
      </c>
    </row>
    <row r="44" spans="3:16" s="14" customFormat="1" ht="12.75" x14ac:dyDescent="0.2">
      <c r="C44" s="12"/>
      <c r="D44" s="15" t="s">
        <v>77</v>
      </c>
      <c r="E44" s="16" t="s">
        <v>78</v>
      </c>
      <c r="F44" s="17" t="s">
        <v>79</v>
      </c>
      <c r="G44" s="18">
        <f t="shared" si="0"/>
        <v>2342.7529999999997</v>
      </c>
      <c r="H44" s="21">
        <f>H25-H47</f>
        <v>777.78099999999995</v>
      </c>
      <c r="I44" s="21">
        <f>I15-I33-I47</f>
        <v>860.00000000000011</v>
      </c>
      <c r="J44" s="21">
        <f>J23+J27-J33-J47</f>
        <v>704.97199999999987</v>
      </c>
      <c r="K44" s="21">
        <f>K30-K33-K47</f>
        <v>0</v>
      </c>
      <c r="L44" s="13"/>
      <c r="M44" s="19"/>
      <c r="P44" s="91">
        <v>150</v>
      </c>
    </row>
    <row r="45" spans="3:16" s="14" customFormat="1" ht="12.75" x14ac:dyDescent="0.2">
      <c r="C45" s="12"/>
      <c r="D45" s="15" t="s">
        <v>80</v>
      </c>
      <c r="E45" s="16" t="s">
        <v>81</v>
      </c>
      <c r="F45" s="17" t="s">
        <v>82</v>
      </c>
      <c r="G45" s="18">
        <f t="shared" si="0"/>
        <v>0</v>
      </c>
      <c r="H45" s="21"/>
      <c r="I45" s="21"/>
      <c r="J45" s="21"/>
      <c r="K45" s="21"/>
      <c r="L45" s="13"/>
      <c r="M45" s="19"/>
      <c r="P45" s="91">
        <v>160</v>
      </c>
    </row>
    <row r="46" spans="3:16" s="14" customFormat="1" ht="12.75" x14ac:dyDescent="0.2">
      <c r="C46" s="12"/>
      <c r="D46" s="15" t="s">
        <v>83</v>
      </c>
      <c r="E46" s="16" t="s">
        <v>84</v>
      </c>
      <c r="F46" s="17" t="s">
        <v>85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180</v>
      </c>
    </row>
    <row r="47" spans="3:16" s="14" customFormat="1" ht="12.75" x14ac:dyDescent="0.2">
      <c r="C47" s="12"/>
      <c r="D47" s="15" t="s">
        <v>86</v>
      </c>
      <c r="E47" s="16" t="s">
        <v>87</v>
      </c>
      <c r="F47" s="17" t="s">
        <v>88</v>
      </c>
      <c r="G47" s="18">
        <f t="shared" si="0"/>
        <v>193.33600000000001</v>
      </c>
      <c r="H47" s="21">
        <v>32.223999999999997</v>
      </c>
      <c r="I47" s="21">
        <v>29.745999999999999</v>
      </c>
      <c r="J47" s="21">
        <v>66.918000000000006</v>
      </c>
      <c r="K47" s="21">
        <v>64.447999999999993</v>
      </c>
      <c r="L47" s="13"/>
      <c r="M47" s="19"/>
      <c r="P47" s="91">
        <v>190</v>
      </c>
    </row>
    <row r="48" spans="3:16" s="14" customFormat="1" ht="12.75" x14ac:dyDescent="0.2">
      <c r="C48" s="12"/>
      <c r="D48" s="15" t="s">
        <v>89</v>
      </c>
      <c r="E48" s="20" t="s">
        <v>90</v>
      </c>
      <c r="F48" s="17" t="s">
        <v>91</v>
      </c>
      <c r="G48" s="18">
        <f t="shared" si="0"/>
        <v>0</v>
      </c>
      <c r="H48" s="21"/>
      <c r="I48" s="21"/>
      <c r="J48" s="21"/>
      <c r="K48" s="21"/>
      <c r="L48" s="13"/>
      <c r="M48" s="19"/>
      <c r="P48" s="91">
        <v>200</v>
      </c>
    </row>
    <row r="49" spans="3:16" s="14" customFormat="1" ht="22.5" x14ac:dyDescent="0.2">
      <c r="C49" s="12"/>
      <c r="D49" s="15" t="s">
        <v>92</v>
      </c>
      <c r="E49" s="16" t="s">
        <v>93</v>
      </c>
      <c r="F49" s="17" t="s">
        <v>94</v>
      </c>
      <c r="G49" s="18">
        <f t="shared" si="0"/>
        <v>325</v>
      </c>
      <c r="H49" s="21"/>
      <c r="I49" s="21">
        <f>325*0.2468</f>
        <v>80.209999999999994</v>
      </c>
      <c r="J49" s="21">
        <f>325*0.3293</f>
        <v>107.02249999999999</v>
      </c>
      <c r="K49" s="21">
        <f>325*0.4239</f>
        <v>137.76750000000001</v>
      </c>
      <c r="L49" s="13"/>
      <c r="M49" s="19"/>
      <c r="P49" s="92"/>
    </row>
    <row r="50" spans="3:16" s="14" customFormat="1" ht="33.75" x14ac:dyDescent="0.2">
      <c r="C50" s="12"/>
      <c r="D50" s="15" t="s">
        <v>95</v>
      </c>
      <c r="E50" s="40" t="s">
        <v>96</v>
      </c>
      <c r="F50" s="17" t="s">
        <v>97</v>
      </c>
      <c r="G50" s="18">
        <f t="shared" si="0"/>
        <v>-131.66400000000002</v>
      </c>
      <c r="H50" s="18">
        <f>H47-H49</f>
        <v>32.223999999999997</v>
      </c>
      <c r="I50" s="18">
        <f>I47-I49</f>
        <v>-50.463999999999999</v>
      </c>
      <c r="J50" s="18">
        <f>J47-J49</f>
        <v>-40.104499999999987</v>
      </c>
      <c r="K50" s="18">
        <f>K47-K49</f>
        <v>-73.319500000000019</v>
      </c>
      <c r="L50" s="13"/>
      <c r="M50" s="19"/>
      <c r="P50" s="92"/>
    </row>
    <row r="51" spans="3:16" s="14" customFormat="1" ht="12.75" x14ac:dyDescent="0.2">
      <c r="C51" s="12"/>
      <c r="D51" s="15" t="s">
        <v>98</v>
      </c>
      <c r="E51" s="16" t="s">
        <v>99</v>
      </c>
      <c r="F51" s="17" t="s">
        <v>100</v>
      </c>
      <c r="G51" s="18">
        <f t="shared" si="0"/>
        <v>0</v>
      </c>
      <c r="H51" s="18">
        <f>(H15+H27+H32)-(H33+H44+H45+H46+H47)</f>
        <v>0</v>
      </c>
      <c r="I51" s="18">
        <f>(I15+I27+I32)-(I33+I44+I45+I46+I47)</f>
        <v>0</v>
      </c>
      <c r="J51" s="18">
        <f>(J15+J27+J32)-(J33+J44+J45+J46+J47)</f>
        <v>0</v>
      </c>
      <c r="K51" s="18">
        <f>(K15+K27+K32)-(K33+K44+K45+K46+K47)</f>
        <v>0</v>
      </c>
      <c r="L51" s="13"/>
      <c r="M51" s="19"/>
      <c r="P51" s="91">
        <v>210</v>
      </c>
    </row>
    <row r="52" spans="3:16" s="14" customFormat="1" ht="12.75" x14ac:dyDescent="0.2">
      <c r="C52" s="12"/>
      <c r="D52" s="111" t="s">
        <v>101</v>
      </c>
      <c r="E52" s="112"/>
      <c r="F52" s="112"/>
      <c r="G52" s="112"/>
      <c r="H52" s="112"/>
      <c r="I52" s="112"/>
      <c r="J52" s="112"/>
      <c r="K52" s="113"/>
      <c r="L52" s="13"/>
      <c r="M52" s="19"/>
      <c r="P52" s="92"/>
    </row>
    <row r="53" spans="3:16" s="14" customFormat="1" ht="12.75" x14ac:dyDescent="0.2">
      <c r="C53" s="12"/>
      <c r="D53" s="15" t="s">
        <v>102</v>
      </c>
      <c r="E53" s="16" t="s">
        <v>13</v>
      </c>
      <c r="F53" s="17" t="s">
        <v>103</v>
      </c>
      <c r="G53" s="18">
        <f t="shared" si="0"/>
        <v>7.6427375</v>
      </c>
      <c r="H53" s="18">
        <f>H54+H55+H58+H61</f>
        <v>1.1250069444444444</v>
      </c>
      <c r="I53" s="18">
        <f>I54+I55+I58+I61</f>
        <v>6.1735819444444449</v>
      </c>
      <c r="J53" s="18">
        <f>J54+J55+J58+J61</f>
        <v>0.34414861111111111</v>
      </c>
      <c r="K53" s="18">
        <f>K54+K55+K58+K61</f>
        <v>0</v>
      </c>
      <c r="L53" s="13"/>
      <c r="M53" s="19"/>
      <c r="P53" s="91">
        <v>300</v>
      </c>
    </row>
    <row r="54" spans="3:16" s="14" customFormat="1" ht="12.75" x14ac:dyDescent="0.2">
      <c r="C54" s="12"/>
      <c r="D54" s="15" t="s">
        <v>104</v>
      </c>
      <c r="E54" s="20" t="s">
        <v>15</v>
      </c>
      <c r="F54" s="17" t="s">
        <v>105</v>
      </c>
      <c r="G54" s="18">
        <f t="shared" si="0"/>
        <v>0</v>
      </c>
      <c r="H54" s="21"/>
      <c r="I54" s="21"/>
      <c r="J54" s="21"/>
      <c r="K54" s="21"/>
      <c r="L54" s="13"/>
      <c r="M54" s="19"/>
      <c r="P54" s="91">
        <v>310</v>
      </c>
    </row>
    <row r="55" spans="3:16" s="14" customFormat="1" ht="12.75" x14ac:dyDescent="0.2">
      <c r="C55" s="12"/>
      <c r="D55" s="15" t="s">
        <v>106</v>
      </c>
      <c r="E55" s="20" t="s">
        <v>17</v>
      </c>
      <c r="F55" s="17" t="s">
        <v>107</v>
      </c>
      <c r="G55" s="18">
        <f t="shared" si="0"/>
        <v>0</v>
      </c>
      <c r="H55" s="18">
        <f>SUM(H56:H57)</f>
        <v>0</v>
      </c>
      <c r="I55" s="18">
        <f>SUM(I56:I57)</f>
        <v>0</v>
      </c>
      <c r="J55" s="18">
        <f>SUM(J56:J57)</f>
        <v>0</v>
      </c>
      <c r="K55" s="18">
        <f>SUM(K56:K57)</f>
        <v>0</v>
      </c>
      <c r="L55" s="13"/>
      <c r="M55" s="19"/>
      <c r="P55" s="91">
        <v>320</v>
      </c>
    </row>
    <row r="56" spans="3:16" s="14" customFormat="1" ht="12.75" x14ac:dyDescent="0.2">
      <c r="C56" s="12"/>
      <c r="D56" s="22" t="s">
        <v>108</v>
      </c>
      <c r="E56" s="23"/>
      <c r="F56" s="24" t="s">
        <v>107</v>
      </c>
      <c r="G56" s="25"/>
      <c r="H56" s="25"/>
      <c r="I56" s="25"/>
      <c r="J56" s="25"/>
      <c r="K56" s="25"/>
      <c r="L56" s="13"/>
      <c r="M56" s="19"/>
      <c r="P56" s="91"/>
    </row>
    <row r="57" spans="3:16" s="14" customFormat="1" ht="12.75" x14ac:dyDescent="0.2">
      <c r="C57" s="12"/>
      <c r="D57" s="26"/>
      <c r="E57" s="27" t="s">
        <v>20</v>
      </c>
      <c r="F57" s="28"/>
      <c r="G57" s="28"/>
      <c r="H57" s="28"/>
      <c r="I57" s="28"/>
      <c r="J57" s="28"/>
      <c r="K57" s="29"/>
      <c r="L57" s="13"/>
      <c r="M57" s="19"/>
      <c r="P57" s="91"/>
    </row>
    <row r="58" spans="3:16" s="14" customFormat="1" ht="12.75" x14ac:dyDescent="0.2">
      <c r="C58" s="12"/>
      <c r="D58" s="15" t="s">
        <v>109</v>
      </c>
      <c r="E58" s="20" t="s">
        <v>22</v>
      </c>
      <c r="F58" s="17" t="s">
        <v>110</v>
      </c>
      <c r="G58" s="18">
        <f t="shared" si="0"/>
        <v>0</v>
      </c>
      <c r="H58" s="18">
        <f>SUM(H59:H60)</f>
        <v>0</v>
      </c>
      <c r="I58" s="18">
        <f>SUM(I59:I60)</f>
        <v>0</v>
      </c>
      <c r="J58" s="18">
        <f>SUM(J59:J60)</f>
        <v>0</v>
      </c>
      <c r="K58" s="18">
        <f>SUM(K59:K60)</f>
        <v>0</v>
      </c>
      <c r="L58" s="13"/>
      <c r="M58" s="19"/>
      <c r="P58" s="91"/>
    </row>
    <row r="59" spans="3:16" s="14" customFormat="1" ht="12.75" x14ac:dyDescent="0.2">
      <c r="C59" s="12"/>
      <c r="D59" s="22" t="s">
        <v>111</v>
      </c>
      <c r="E59" s="23"/>
      <c r="F59" s="24" t="s">
        <v>110</v>
      </c>
      <c r="G59" s="25"/>
      <c r="H59" s="25"/>
      <c r="I59" s="25"/>
      <c r="J59" s="25"/>
      <c r="K59" s="25"/>
      <c r="L59" s="13"/>
      <c r="M59" s="19"/>
      <c r="P59" s="91"/>
    </row>
    <row r="60" spans="3:16" s="14" customFormat="1" ht="12.75" x14ac:dyDescent="0.2">
      <c r="C60" s="12"/>
      <c r="D60" s="26"/>
      <c r="E60" s="27" t="s">
        <v>20</v>
      </c>
      <c r="F60" s="28"/>
      <c r="G60" s="28"/>
      <c r="H60" s="28"/>
      <c r="I60" s="28"/>
      <c r="J60" s="28"/>
      <c r="K60" s="29"/>
      <c r="L60" s="13"/>
      <c r="M60" s="19"/>
      <c r="P60" s="91"/>
    </row>
    <row r="61" spans="3:16" s="14" customFormat="1" ht="12.75" x14ac:dyDescent="0.2">
      <c r="C61" s="12"/>
      <c r="D61" s="15" t="s">
        <v>112</v>
      </c>
      <c r="E61" s="20" t="s">
        <v>26</v>
      </c>
      <c r="F61" s="17" t="s">
        <v>113</v>
      </c>
      <c r="G61" s="18">
        <f t="shared" si="0"/>
        <v>7.6427375</v>
      </c>
      <c r="H61" s="18">
        <f>SUM(H62:H64)</f>
        <v>1.1250069444444444</v>
      </c>
      <c r="I61" s="18">
        <f>SUM(I62:I64)</f>
        <v>6.1735819444444449</v>
      </c>
      <c r="J61" s="18">
        <f>SUM(J62:J64)</f>
        <v>0.34414861111111111</v>
      </c>
      <c r="K61" s="18">
        <f>SUM(K62:K64)</f>
        <v>0</v>
      </c>
      <c r="L61" s="13"/>
      <c r="M61" s="19"/>
      <c r="P61" s="91">
        <v>330</v>
      </c>
    </row>
    <row r="62" spans="3:16" s="14" customFormat="1" ht="12.75" x14ac:dyDescent="0.2">
      <c r="C62" s="12"/>
      <c r="D62" s="22" t="s">
        <v>114</v>
      </c>
      <c r="E62" s="23"/>
      <c r="F62" s="24" t="s">
        <v>113</v>
      </c>
      <c r="G62" s="25"/>
      <c r="H62" s="25"/>
      <c r="I62" s="25"/>
      <c r="J62" s="25"/>
      <c r="K62" s="25"/>
      <c r="L62" s="13"/>
      <c r="M62" s="19"/>
      <c r="P62" s="91"/>
    </row>
    <row r="63" spans="3:16" s="14" customFormat="1" ht="15" x14ac:dyDescent="0.25">
      <c r="C63" s="30" t="s">
        <v>29</v>
      </c>
      <c r="D63" s="31" t="s">
        <v>115</v>
      </c>
      <c r="E63" s="32" t="s">
        <v>31</v>
      </c>
      <c r="F63" s="33">
        <v>1461</v>
      </c>
      <c r="G63" s="34">
        <f>SUM(H63:K63)</f>
        <v>7.6427375</v>
      </c>
      <c r="H63" s="35">
        <f>H25/720</f>
        <v>1.1250069444444444</v>
      </c>
      <c r="I63" s="35">
        <f>I25/720</f>
        <v>6.1735819444444449</v>
      </c>
      <c r="J63" s="35">
        <f>J25/720</f>
        <v>0.34414861111111111</v>
      </c>
      <c r="K63" s="35"/>
      <c r="L63" s="13"/>
      <c r="M63" s="37" t="s">
        <v>32</v>
      </c>
      <c r="N63" s="38" t="s">
        <v>33</v>
      </c>
      <c r="O63" s="38" t="s">
        <v>336</v>
      </c>
    </row>
    <row r="64" spans="3:16" s="14" customFormat="1" ht="12.75" x14ac:dyDescent="0.2">
      <c r="C64" s="12"/>
      <c r="D64" s="26"/>
      <c r="E64" s="27" t="s">
        <v>20</v>
      </c>
      <c r="F64" s="28"/>
      <c r="G64" s="28"/>
      <c r="H64" s="28"/>
      <c r="I64" s="28"/>
      <c r="J64" s="28"/>
      <c r="K64" s="29"/>
      <c r="L64" s="13"/>
      <c r="M64" s="19"/>
      <c r="P64" s="91"/>
    </row>
    <row r="65" spans="3:16" s="14" customFormat="1" ht="12.75" x14ac:dyDescent="0.2">
      <c r="C65" s="12"/>
      <c r="D65" s="15" t="s">
        <v>116</v>
      </c>
      <c r="E65" s="16" t="s">
        <v>35</v>
      </c>
      <c r="F65" s="17" t="s">
        <v>117</v>
      </c>
      <c r="G65" s="18">
        <f t="shared" si="0"/>
        <v>3.2538236111111112</v>
      </c>
      <c r="H65" s="18">
        <f>H67+H68+H69</f>
        <v>0</v>
      </c>
      <c r="I65" s="18">
        <f>I66+I68+I69</f>
        <v>0</v>
      </c>
      <c r="J65" s="18">
        <f>J66+J67+J69</f>
        <v>2.2746958333333334</v>
      </c>
      <c r="K65" s="18">
        <f>K66+K67+K68</f>
        <v>0.97912777777777771</v>
      </c>
      <c r="L65" s="13"/>
      <c r="M65" s="19"/>
      <c r="P65" s="91">
        <v>340</v>
      </c>
    </row>
    <row r="66" spans="3:16" s="14" customFormat="1" ht="12.75" x14ac:dyDescent="0.2">
      <c r="C66" s="12"/>
      <c r="D66" s="15" t="s">
        <v>118</v>
      </c>
      <c r="E66" s="20" t="s">
        <v>7</v>
      </c>
      <c r="F66" s="17" t="s">
        <v>119</v>
      </c>
      <c r="G66" s="18">
        <f t="shared" si="0"/>
        <v>1.0802513888888887</v>
      </c>
      <c r="H66" s="39"/>
      <c r="I66" s="21"/>
      <c r="J66" s="21">
        <f>J28/720</f>
        <v>1.0802513888888887</v>
      </c>
      <c r="K66" s="21"/>
      <c r="L66" s="13"/>
      <c r="M66" s="19"/>
      <c r="P66" s="91">
        <v>350</v>
      </c>
    </row>
    <row r="67" spans="3:16" s="14" customFormat="1" ht="12.75" x14ac:dyDescent="0.2">
      <c r="C67" s="12"/>
      <c r="D67" s="15" t="s">
        <v>120</v>
      </c>
      <c r="E67" s="20" t="s">
        <v>8</v>
      </c>
      <c r="F67" s="17" t="s">
        <v>121</v>
      </c>
      <c r="G67" s="18">
        <f t="shared" si="0"/>
        <v>1.1944444444444446</v>
      </c>
      <c r="H67" s="21"/>
      <c r="I67" s="46"/>
      <c r="J67" s="21">
        <f>J29/720</f>
        <v>1.1944444444444446</v>
      </c>
      <c r="K67" s="21"/>
      <c r="L67" s="13"/>
      <c r="M67" s="19"/>
      <c r="P67" s="91">
        <v>360</v>
      </c>
    </row>
    <row r="68" spans="3:16" s="14" customFormat="1" ht="12.75" x14ac:dyDescent="0.2">
      <c r="C68" s="12"/>
      <c r="D68" s="15" t="s">
        <v>122</v>
      </c>
      <c r="E68" s="20" t="s">
        <v>9</v>
      </c>
      <c r="F68" s="17" t="s">
        <v>123</v>
      </c>
      <c r="G68" s="18">
        <f t="shared" si="0"/>
        <v>0.97912777777777771</v>
      </c>
      <c r="H68" s="21"/>
      <c r="I68" s="21"/>
      <c r="J68" s="39"/>
      <c r="K68" s="21">
        <f>K30/720</f>
        <v>0.97912777777777771</v>
      </c>
      <c r="L68" s="13"/>
      <c r="M68" s="19"/>
      <c r="P68" s="91">
        <v>370</v>
      </c>
    </row>
    <row r="69" spans="3:16" s="14" customFormat="1" ht="12.75" x14ac:dyDescent="0.2">
      <c r="C69" s="12"/>
      <c r="D69" s="15" t="s">
        <v>124</v>
      </c>
      <c r="E69" s="20" t="s">
        <v>44</v>
      </c>
      <c r="F69" s="17" t="s">
        <v>125</v>
      </c>
      <c r="G69" s="18">
        <f t="shared" si="0"/>
        <v>0</v>
      </c>
      <c r="H69" s="21"/>
      <c r="I69" s="21"/>
      <c r="J69" s="21"/>
      <c r="K69" s="39"/>
      <c r="L69" s="13"/>
      <c r="M69" s="19"/>
      <c r="P69" s="91">
        <v>380</v>
      </c>
    </row>
    <row r="70" spans="3:16" s="14" customFormat="1" ht="12.75" x14ac:dyDescent="0.2">
      <c r="C70" s="12"/>
      <c r="D70" s="15" t="s">
        <v>126</v>
      </c>
      <c r="E70" s="40" t="s">
        <v>47</v>
      </c>
      <c r="F70" s="17" t="s">
        <v>127</v>
      </c>
      <c r="G70" s="18">
        <f t="shared" si="0"/>
        <v>0</v>
      </c>
      <c r="H70" s="21"/>
      <c r="I70" s="21"/>
      <c r="J70" s="21"/>
      <c r="K70" s="21"/>
      <c r="L70" s="13"/>
      <c r="M70" s="19"/>
      <c r="P70" s="91"/>
    </row>
    <row r="71" spans="3:16" s="14" customFormat="1" ht="12.75" x14ac:dyDescent="0.2">
      <c r="C71" s="12"/>
      <c r="D71" s="15" t="s">
        <v>128</v>
      </c>
      <c r="E71" s="16" t="s">
        <v>50</v>
      </c>
      <c r="F71" s="41" t="s">
        <v>129</v>
      </c>
      <c r="G71" s="18">
        <f t="shared" si="0"/>
        <v>7.3742152777777781</v>
      </c>
      <c r="H71" s="18">
        <f>H72+H74+H77+H81</f>
        <v>0</v>
      </c>
      <c r="I71" s="18">
        <f>I72+I74+I77+I81</f>
        <v>4.9378236111111109</v>
      </c>
      <c r="J71" s="18">
        <f>J72+J74+J77+J81</f>
        <v>1.5467750000000002</v>
      </c>
      <c r="K71" s="18">
        <f>K72+K74+K77+K81</f>
        <v>0.88961666666666672</v>
      </c>
      <c r="L71" s="13"/>
      <c r="M71" s="19"/>
      <c r="P71" s="91">
        <v>390</v>
      </c>
    </row>
    <row r="72" spans="3:16" s="14" customFormat="1" ht="22.5" x14ac:dyDescent="0.2">
      <c r="C72" s="12"/>
      <c r="D72" s="15" t="s">
        <v>130</v>
      </c>
      <c r="E72" s="20" t="s">
        <v>53</v>
      </c>
      <c r="F72" s="17" t="s">
        <v>131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132</v>
      </c>
      <c r="E73" s="42" t="s">
        <v>56</v>
      </c>
      <c r="F73" s="17" t="s">
        <v>133</v>
      </c>
      <c r="G73" s="18">
        <f t="shared" si="0"/>
        <v>0</v>
      </c>
      <c r="H73" s="21"/>
      <c r="I73" s="21"/>
      <c r="J73" s="21"/>
      <c r="K73" s="21"/>
      <c r="L73" s="13"/>
      <c r="M73" s="19"/>
      <c r="P73" s="91"/>
    </row>
    <row r="74" spans="3:16" s="14" customFormat="1" ht="12.75" x14ac:dyDescent="0.2">
      <c r="C74" s="12"/>
      <c r="D74" s="15" t="s">
        <v>134</v>
      </c>
      <c r="E74" s="20" t="s">
        <v>59</v>
      </c>
      <c r="F74" s="17" t="s">
        <v>135</v>
      </c>
      <c r="G74" s="18">
        <f t="shared" si="0"/>
        <v>3.4431166666666675</v>
      </c>
      <c r="H74" s="21"/>
      <c r="I74" s="21">
        <f>I36/720</f>
        <v>1.0067250000000001</v>
      </c>
      <c r="J74" s="21">
        <f>J36/720</f>
        <v>1.5467750000000002</v>
      </c>
      <c r="K74" s="21">
        <f>K36/720</f>
        <v>0.88961666666666672</v>
      </c>
      <c r="L74" s="13"/>
      <c r="M74" s="19"/>
      <c r="P74" s="91"/>
    </row>
    <row r="75" spans="3:16" s="14" customFormat="1" ht="12.75" x14ac:dyDescent="0.2">
      <c r="C75" s="12"/>
      <c r="D75" s="15" t="s">
        <v>136</v>
      </c>
      <c r="E75" s="42" t="s">
        <v>62</v>
      </c>
      <c r="F75" s="17" t="s">
        <v>137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138</v>
      </c>
      <c r="E76" s="43" t="s">
        <v>56</v>
      </c>
      <c r="F76" s="17" t="s">
        <v>139</v>
      </c>
      <c r="G76" s="18">
        <f t="shared" si="0"/>
        <v>0</v>
      </c>
      <c r="H76" s="21"/>
      <c r="I76" s="21"/>
      <c r="J76" s="21"/>
      <c r="K76" s="21"/>
      <c r="L76" s="13"/>
      <c r="M76" s="19"/>
      <c r="P76" s="91"/>
    </row>
    <row r="77" spans="3:16" s="14" customFormat="1" ht="12.75" x14ac:dyDescent="0.2">
      <c r="C77" s="12"/>
      <c r="D77" s="15" t="s">
        <v>140</v>
      </c>
      <c r="E77" s="20" t="s">
        <v>67</v>
      </c>
      <c r="F77" s="17" t="s">
        <v>141</v>
      </c>
      <c r="G77" s="18">
        <f t="shared" si="0"/>
        <v>3.931098611111111</v>
      </c>
      <c r="H77" s="18">
        <f>SUM(H78:H80)</f>
        <v>0</v>
      </c>
      <c r="I77" s="18">
        <f>SUM(I78:I80)</f>
        <v>3.931098611111111</v>
      </c>
      <c r="J77" s="18">
        <f>SUM(J78:J80)</f>
        <v>0</v>
      </c>
      <c r="K77" s="18">
        <f>SUM(K78:K80)</f>
        <v>0</v>
      </c>
      <c r="L77" s="13"/>
      <c r="M77" s="19"/>
      <c r="P77" s="91"/>
    </row>
    <row r="78" spans="3:16" s="14" customFormat="1" ht="12.75" x14ac:dyDescent="0.2">
      <c r="C78" s="12"/>
      <c r="D78" s="22" t="s">
        <v>142</v>
      </c>
      <c r="E78" s="23"/>
      <c r="F78" s="24" t="s">
        <v>141</v>
      </c>
      <c r="G78" s="25"/>
      <c r="H78" s="25"/>
      <c r="I78" s="25"/>
      <c r="J78" s="25"/>
      <c r="K78" s="25"/>
      <c r="L78" s="13"/>
      <c r="M78" s="19"/>
      <c r="P78" s="91"/>
    </row>
    <row r="79" spans="3:16" s="14" customFormat="1" ht="15" x14ac:dyDescent="0.25">
      <c r="C79" s="30" t="s">
        <v>29</v>
      </c>
      <c r="D79" s="31" t="s">
        <v>143</v>
      </c>
      <c r="E79" s="32" t="s">
        <v>71</v>
      </c>
      <c r="F79" s="33">
        <v>1781</v>
      </c>
      <c r="G79" s="34">
        <f>SUM(H79:K79)</f>
        <v>3.931098611111111</v>
      </c>
      <c r="H79" s="35"/>
      <c r="I79" s="35">
        <f>I41/720</f>
        <v>3.931098611111111</v>
      </c>
      <c r="J79" s="35"/>
      <c r="K79" s="36"/>
      <c r="L79" s="13"/>
      <c r="M79" s="37" t="s">
        <v>72</v>
      </c>
      <c r="N79" s="38" t="s">
        <v>73</v>
      </c>
      <c r="O79" s="38" t="s">
        <v>337</v>
      </c>
    </row>
    <row r="80" spans="3:16" s="14" customFormat="1" ht="12.75" x14ac:dyDescent="0.2">
      <c r="C80" s="12"/>
      <c r="D80" s="26"/>
      <c r="E80" s="27" t="s">
        <v>20</v>
      </c>
      <c r="F80" s="28"/>
      <c r="G80" s="28"/>
      <c r="H80" s="28"/>
      <c r="I80" s="28"/>
      <c r="J80" s="28"/>
      <c r="K80" s="29"/>
      <c r="L80" s="13"/>
      <c r="M80" s="19"/>
      <c r="P80" s="91"/>
    </row>
    <row r="81" spans="3:16" s="14" customFormat="1" ht="12.75" x14ac:dyDescent="0.2">
      <c r="C81" s="12"/>
      <c r="D81" s="15" t="s">
        <v>144</v>
      </c>
      <c r="E81" s="45" t="s">
        <v>75</v>
      </c>
      <c r="F81" s="17" t="s">
        <v>145</v>
      </c>
      <c r="G81" s="18">
        <f t="shared" si="0"/>
        <v>0</v>
      </c>
      <c r="H81" s="21"/>
      <c r="I81" s="21"/>
      <c r="J81" s="21"/>
      <c r="K81" s="21"/>
      <c r="L81" s="13"/>
      <c r="M81" s="19"/>
      <c r="P81" s="91">
        <v>410</v>
      </c>
    </row>
    <row r="82" spans="3:16" s="14" customFormat="1" ht="12.75" x14ac:dyDescent="0.2">
      <c r="C82" s="12"/>
      <c r="D82" s="15" t="s">
        <v>146</v>
      </c>
      <c r="E82" s="16" t="s">
        <v>78</v>
      </c>
      <c r="F82" s="17" t="s">
        <v>147</v>
      </c>
      <c r="G82" s="18">
        <f t="shared" si="0"/>
        <v>3.2538236111111107</v>
      </c>
      <c r="H82" s="21">
        <f>H44/720</f>
        <v>1.0802513888888887</v>
      </c>
      <c r="I82" s="21">
        <f>I44/720</f>
        <v>1.1944444444444446</v>
      </c>
      <c r="J82" s="21">
        <f>J44/720</f>
        <v>0.9791277777777776</v>
      </c>
      <c r="K82" s="21"/>
      <c r="L82" s="13"/>
      <c r="M82" s="19"/>
      <c r="P82" s="91">
        <v>440</v>
      </c>
    </row>
    <row r="83" spans="3:16" s="14" customFormat="1" ht="12.75" x14ac:dyDescent="0.2">
      <c r="C83" s="12"/>
      <c r="D83" s="15" t="s">
        <v>148</v>
      </c>
      <c r="E83" s="16" t="s">
        <v>81</v>
      </c>
      <c r="F83" s="17" t="s">
        <v>149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450</v>
      </c>
    </row>
    <row r="84" spans="3:16" s="14" customFormat="1" ht="12.75" x14ac:dyDescent="0.2">
      <c r="C84" s="12"/>
      <c r="D84" s="15" t="s">
        <v>150</v>
      </c>
      <c r="E84" s="16" t="s">
        <v>84</v>
      </c>
      <c r="F84" s="17" t="s">
        <v>151</v>
      </c>
      <c r="G84" s="18">
        <f t="shared" si="0"/>
        <v>0</v>
      </c>
      <c r="H84" s="21"/>
      <c r="I84" s="21"/>
      <c r="J84" s="21"/>
      <c r="K84" s="21"/>
      <c r="L84" s="13"/>
      <c r="M84" s="19"/>
      <c r="P84" s="91">
        <v>470</v>
      </c>
    </row>
    <row r="85" spans="3:16" s="14" customFormat="1" ht="12.75" x14ac:dyDescent="0.2">
      <c r="C85" s="12"/>
      <c r="D85" s="15" t="s">
        <v>152</v>
      </c>
      <c r="E85" s="16" t="s">
        <v>87</v>
      </c>
      <c r="F85" s="17" t="s">
        <v>153</v>
      </c>
      <c r="G85" s="18">
        <f t="shared" si="0"/>
        <v>0.26852222222222222</v>
      </c>
      <c r="H85" s="21">
        <f>H47/720</f>
        <v>4.4755555555555548E-2</v>
      </c>
      <c r="I85" s="21">
        <f>I47/720</f>
        <v>4.1313888888888886E-2</v>
      </c>
      <c r="J85" s="21">
        <f>J47/720</f>
        <v>9.2941666666666672E-2</v>
      </c>
      <c r="K85" s="21">
        <f>K47/720</f>
        <v>8.9511111111111097E-2</v>
      </c>
      <c r="L85" s="13"/>
      <c r="M85" s="19"/>
      <c r="P85" s="91">
        <v>480</v>
      </c>
    </row>
    <row r="86" spans="3:16" s="14" customFormat="1" ht="12.75" x14ac:dyDescent="0.2">
      <c r="C86" s="12"/>
      <c r="D86" s="15" t="s">
        <v>154</v>
      </c>
      <c r="E86" s="20" t="s">
        <v>155</v>
      </c>
      <c r="F86" s="17" t="s">
        <v>156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490</v>
      </c>
    </row>
    <row r="87" spans="3:16" s="14" customFormat="1" ht="22.5" x14ac:dyDescent="0.2">
      <c r="C87" s="12"/>
      <c r="D87" s="15" t="s">
        <v>157</v>
      </c>
      <c r="E87" s="16" t="s">
        <v>93</v>
      </c>
      <c r="F87" s="17" t="s">
        <v>158</v>
      </c>
      <c r="G87" s="18">
        <f t="shared" si="0"/>
        <v>0.45138888888888884</v>
      </c>
      <c r="H87" s="21"/>
      <c r="I87" s="21">
        <f>I49/720</f>
        <v>0.11140277777777777</v>
      </c>
      <c r="J87" s="21">
        <f>J49/720</f>
        <v>0.14864236111111109</v>
      </c>
      <c r="K87" s="21">
        <f>K49/720</f>
        <v>0.19134375000000001</v>
      </c>
      <c r="L87" s="13"/>
      <c r="M87" s="19"/>
      <c r="P87" s="91"/>
    </row>
    <row r="88" spans="3:16" s="14" customFormat="1" ht="33.75" x14ac:dyDescent="0.2">
      <c r="C88" s="12"/>
      <c r="D88" s="15" t="s">
        <v>159</v>
      </c>
      <c r="E88" s="40" t="s">
        <v>96</v>
      </c>
      <c r="F88" s="17" t="s">
        <v>160</v>
      </c>
      <c r="G88" s="18">
        <f t="shared" si="0"/>
        <v>-0.18286666666666668</v>
      </c>
      <c r="H88" s="18">
        <f>H85-H87</f>
        <v>4.4755555555555548E-2</v>
      </c>
      <c r="I88" s="18">
        <f>I85-I87</f>
        <v>-7.0088888888888881E-2</v>
      </c>
      <c r="J88" s="18">
        <f>J85-J87</f>
        <v>-5.5700694444444421E-2</v>
      </c>
      <c r="K88" s="18">
        <f>K85-K87</f>
        <v>-0.10183263888888891</v>
      </c>
      <c r="L88" s="13"/>
      <c r="M88" s="19"/>
      <c r="P88" s="91"/>
    </row>
    <row r="89" spans="3:16" s="14" customFormat="1" ht="12.75" x14ac:dyDescent="0.2">
      <c r="C89" s="12"/>
      <c r="D89" s="15" t="s">
        <v>161</v>
      </c>
      <c r="E89" s="16" t="s">
        <v>99</v>
      </c>
      <c r="F89" s="17" t="s">
        <v>162</v>
      </c>
      <c r="G89" s="18">
        <f t="shared" si="0"/>
        <v>0</v>
      </c>
      <c r="H89" s="18">
        <f>(H53+H65+H70)-(H71+H82+H83+H84+H85)</f>
        <v>0</v>
      </c>
      <c r="I89" s="18">
        <f>(I53+I65+I70)-(I71+I82+I83+I84+I85)</f>
        <v>0</v>
      </c>
      <c r="J89" s="18">
        <f>(J53+J65+J70)-(J71+J82+J83+J84+J85)</f>
        <v>0</v>
      </c>
      <c r="K89" s="18">
        <f>(K53+K65+K70)-(K71+K82+K83+K84+K85)</f>
        <v>0</v>
      </c>
      <c r="L89" s="13"/>
      <c r="M89" s="19"/>
      <c r="P89" s="91">
        <v>500</v>
      </c>
    </row>
    <row r="90" spans="3:16" s="14" customFormat="1" ht="12.75" x14ac:dyDescent="0.2">
      <c r="C90" s="12"/>
      <c r="D90" s="111" t="s">
        <v>163</v>
      </c>
      <c r="E90" s="112"/>
      <c r="F90" s="112"/>
      <c r="G90" s="112"/>
      <c r="H90" s="112"/>
      <c r="I90" s="112"/>
      <c r="J90" s="112"/>
      <c r="K90" s="113"/>
      <c r="L90" s="13"/>
      <c r="M90" s="19"/>
      <c r="P90" s="92"/>
    </row>
    <row r="91" spans="3:16" s="14" customFormat="1" ht="12.75" x14ac:dyDescent="0.2">
      <c r="C91" s="12"/>
      <c r="D91" s="15" t="s">
        <v>164</v>
      </c>
      <c r="E91" s="16" t="s">
        <v>165</v>
      </c>
      <c r="F91" s="17" t="s">
        <v>166</v>
      </c>
      <c r="G91" s="18">
        <f t="shared" si="0"/>
        <v>0</v>
      </c>
      <c r="H91" s="21"/>
      <c r="I91" s="21"/>
      <c r="J91" s="21"/>
      <c r="K91" s="21"/>
      <c r="L91" s="13"/>
      <c r="M91" s="19"/>
      <c r="P91" s="91">
        <v>600</v>
      </c>
    </row>
    <row r="92" spans="3:16" s="14" customFormat="1" ht="12.75" x14ac:dyDescent="0.2">
      <c r="C92" s="12"/>
      <c r="D92" s="15" t="s">
        <v>167</v>
      </c>
      <c r="E92" s="16" t="s">
        <v>168</v>
      </c>
      <c r="F92" s="17" t="s">
        <v>169</v>
      </c>
      <c r="G92" s="18">
        <f t="shared" si="0"/>
        <v>25.006</v>
      </c>
      <c r="H92" s="21"/>
      <c r="I92" s="21">
        <v>25.006</v>
      </c>
      <c r="J92" s="21"/>
      <c r="K92" s="21"/>
      <c r="L92" s="13"/>
      <c r="M92" s="19"/>
      <c r="P92" s="91">
        <v>610</v>
      </c>
    </row>
    <row r="93" spans="3:16" s="14" customFormat="1" ht="12.75" x14ac:dyDescent="0.2">
      <c r="C93" s="12"/>
      <c r="D93" s="15" t="s">
        <v>170</v>
      </c>
      <c r="E93" s="16" t="s">
        <v>171</v>
      </c>
      <c r="F93" s="17" t="s">
        <v>172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620</v>
      </c>
    </row>
    <row r="94" spans="3:16" s="14" customFormat="1" ht="12.75" x14ac:dyDescent="0.2">
      <c r="C94" s="12"/>
      <c r="D94" s="111" t="s">
        <v>173</v>
      </c>
      <c r="E94" s="112"/>
      <c r="F94" s="112"/>
      <c r="G94" s="112"/>
      <c r="H94" s="112"/>
      <c r="I94" s="112"/>
      <c r="J94" s="112"/>
      <c r="K94" s="113"/>
      <c r="L94" s="13"/>
      <c r="M94" s="19"/>
      <c r="P94" s="92"/>
    </row>
    <row r="95" spans="3:16" s="14" customFormat="1" ht="12.75" x14ac:dyDescent="0.2">
      <c r="C95" s="12"/>
      <c r="D95" s="15" t="s">
        <v>174</v>
      </c>
      <c r="E95" s="16" t="s">
        <v>175</v>
      </c>
      <c r="F95" s="17" t="s">
        <v>176</v>
      </c>
      <c r="G95" s="18">
        <f t="shared" si="0"/>
        <v>0</v>
      </c>
      <c r="H95" s="18">
        <f>SUM(H96:H97)</f>
        <v>0</v>
      </c>
      <c r="I95" s="18">
        <f>SUM(I96:I97)</f>
        <v>0</v>
      </c>
      <c r="J95" s="18">
        <f>SUM(J96:J97)</f>
        <v>0</v>
      </c>
      <c r="K95" s="18">
        <f>SUM(K96:K97)</f>
        <v>0</v>
      </c>
      <c r="L95" s="13"/>
      <c r="M95" s="19"/>
      <c r="P95" s="91">
        <v>700</v>
      </c>
    </row>
    <row r="96" spans="3:16" ht="12.75" x14ac:dyDescent="0.2">
      <c r="C96" s="2"/>
      <c r="D96" s="47" t="s">
        <v>177</v>
      </c>
      <c r="E96" s="20" t="s">
        <v>178</v>
      </c>
      <c r="F96" s="17" t="s">
        <v>179</v>
      </c>
      <c r="G96" s="18">
        <f t="shared" si="0"/>
        <v>0</v>
      </c>
      <c r="H96" s="48"/>
      <c r="I96" s="48"/>
      <c r="J96" s="48"/>
      <c r="K96" s="48"/>
      <c r="L96" s="8"/>
      <c r="M96" s="19"/>
      <c r="P96" s="91">
        <v>710</v>
      </c>
    </row>
    <row r="97" spans="3:16" ht="12.75" x14ac:dyDescent="0.2">
      <c r="C97" s="2"/>
      <c r="D97" s="47" t="s">
        <v>180</v>
      </c>
      <c r="E97" s="20" t="s">
        <v>181</v>
      </c>
      <c r="F97" s="17" t="s">
        <v>182</v>
      </c>
      <c r="G97" s="18">
        <f t="shared" si="0"/>
        <v>0</v>
      </c>
      <c r="H97" s="49">
        <f>H100</f>
        <v>0</v>
      </c>
      <c r="I97" s="49">
        <f>I100</f>
        <v>0</v>
      </c>
      <c r="J97" s="49">
        <f>J100</f>
        <v>0</v>
      </c>
      <c r="K97" s="49">
        <f>K100</f>
        <v>0</v>
      </c>
      <c r="L97" s="8"/>
      <c r="M97" s="19"/>
      <c r="P97" s="91">
        <v>720</v>
      </c>
    </row>
    <row r="98" spans="3:16" ht="12.75" x14ac:dyDescent="0.2">
      <c r="C98" s="2"/>
      <c r="D98" s="47" t="s">
        <v>183</v>
      </c>
      <c r="E98" s="42" t="s">
        <v>184</v>
      </c>
      <c r="F98" s="17" t="s">
        <v>185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730</v>
      </c>
    </row>
    <row r="99" spans="3:16" ht="12.75" x14ac:dyDescent="0.2">
      <c r="C99" s="2"/>
      <c r="D99" s="47" t="s">
        <v>186</v>
      </c>
      <c r="E99" s="43" t="s">
        <v>187</v>
      </c>
      <c r="F99" s="17" t="s">
        <v>188</v>
      </c>
      <c r="G99" s="18">
        <f t="shared" si="0"/>
        <v>0</v>
      </c>
      <c r="H99" s="48"/>
      <c r="I99" s="48"/>
      <c r="J99" s="48"/>
      <c r="K99" s="48"/>
      <c r="L99" s="8"/>
      <c r="M99" s="19"/>
      <c r="P99" s="91"/>
    </row>
    <row r="100" spans="3:16" ht="12.75" x14ac:dyDescent="0.2">
      <c r="C100" s="2"/>
      <c r="D100" s="47" t="s">
        <v>189</v>
      </c>
      <c r="E100" s="42" t="s">
        <v>190</v>
      </c>
      <c r="F100" s="17" t="s">
        <v>191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740</v>
      </c>
    </row>
    <row r="101" spans="3:16" ht="12.75" x14ac:dyDescent="0.2">
      <c r="C101" s="2"/>
      <c r="D101" s="47" t="s">
        <v>192</v>
      </c>
      <c r="E101" s="16" t="s">
        <v>193</v>
      </c>
      <c r="F101" s="17" t="s">
        <v>194</v>
      </c>
      <c r="G101" s="18">
        <f t="shared" si="0"/>
        <v>0</v>
      </c>
      <c r="H101" s="49">
        <f>H102+H118</f>
        <v>0</v>
      </c>
      <c r="I101" s="49">
        <f>I102+I118</f>
        <v>0</v>
      </c>
      <c r="J101" s="49">
        <f>J102+J118</f>
        <v>0</v>
      </c>
      <c r="K101" s="49">
        <f>K102+K118</f>
        <v>0</v>
      </c>
      <c r="L101" s="8"/>
      <c r="M101" s="19"/>
      <c r="P101" s="91">
        <v>750</v>
      </c>
    </row>
    <row r="102" spans="3:16" ht="12.75" x14ac:dyDescent="0.2">
      <c r="C102" s="2"/>
      <c r="D102" s="47" t="s">
        <v>195</v>
      </c>
      <c r="E102" s="20" t="s">
        <v>196</v>
      </c>
      <c r="F102" s="17" t="s">
        <v>197</v>
      </c>
      <c r="G102" s="18">
        <f t="shared" si="0"/>
        <v>0</v>
      </c>
      <c r="H102" s="49">
        <f>H103+H104</f>
        <v>0</v>
      </c>
      <c r="I102" s="49">
        <f>I103+I104</f>
        <v>0</v>
      </c>
      <c r="J102" s="49">
        <f>J103+J104</f>
        <v>0</v>
      </c>
      <c r="K102" s="49">
        <f>K103+K104</f>
        <v>0</v>
      </c>
      <c r="L102" s="8"/>
      <c r="M102" s="19"/>
      <c r="P102" s="91">
        <v>760</v>
      </c>
    </row>
    <row r="103" spans="3:16" ht="12.75" x14ac:dyDescent="0.2">
      <c r="C103" s="2"/>
      <c r="D103" s="47" t="s">
        <v>198</v>
      </c>
      <c r="E103" s="42" t="s">
        <v>199</v>
      </c>
      <c r="F103" s="17" t="s">
        <v>200</v>
      </c>
      <c r="G103" s="18">
        <f t="shared" si="0"/>
        <v>0</v>
      </c>
      <c r="H103" s="48"/>
      <c r="I103" s="48"/>
      <c r="J103" s="48"/>
      <c r="K103" s="48"/>
      <c r="L103" s="8"/>
      <c r="M103" s="19"/>
      <c r="P103" s="91"/>
    </row>
    <row r="104" spans="3:16" ht="12.75" x14ac:dyDescent="0.2">
      <c r="C104" s="2"/>
      <c r="D104" s="47" t="s">
        <v>201</v>
      </c>
      <c r="E104" s="42" t="s">
        <v>202</v>
      </c>
      <c r="F104" s="17" t="s">
        <v>203</v>
      </c>
      <c r="G104" s="18">
        <f t="shared" si="0"/>
        <v>0</v>
      </c>
      <c r="H104" s="49">
        <f>H105+H108+H111+H114+H115+H116+H117</f>
        <v>0</v>
      </c>
      <c r="I104" s="49">
        <f>I105+I108+I111+I114+I115+I116+I117</f>
        <v>0</v>
      </c>
      <c r="J104" s="49">
        <f>J105+J108+J111+J114+J115+J116+J117</f>
        <v>0</v>
      </c>
      <c r="K104" s="49">
        <f>K105+K108+K111+K114+K115+K116+K117</f>
        <v>0</v>
      </c>
      <c r="L104" s="8"/>
      <c r="M104" s="19"/>
      <c r="P104" s="91"/>
    </row>
    <row r="105" spans="3:16" ht="45" x14ac:dyDescent="0.2">
      <c r="C105" s="2"/>
      <c r="D105" s="47" t="s">
        <v>204</v>
      </c>
      <c r="E105" s="43" t="s">
        <v>205</v>
      </c>
      <c r="F105" s="17" t="s">
        <v>206</v>
      </c>
      <c r="G105" s="18">
        <f t="shared" si="0"/>
        <v>0</v>
      </c>
      <c r="H105" s="50">
        <f>H106+H107</f>
        <v>0</v>
      </c>
      <c r="I105" s="50">
        <f>I106+I107</f>
        <v>0</v>
      </c>
      <c r="J105" s="50">
        <f>J106+J107</f>
        <v>0</v>
      </c>
      <c r="K105" s="50">
        <f>K106+K107</f>
        <v>0</v>
      </c>
      <c r="L105" s="8"/>
      <c r="M105" s="19"/>
      <c r="P105" s="91"/>
    </row>
    <row r="106" spans="3:16" ht="12.75" x14ac:dyDescent="0.2">
      <c r="C106" s="2"/>
      <c r="D106" s="47" t="s">
        <v>207</v>
      </c>
      <c r="E106" s="51" t="s">
        <v>208</v>
      </c>
      <c r="F106" s="17" t="s">
        <v>209</v>
      </c>
      <c r="G106" s="18">
        <f t="shared" si="0"/>
        <v>0</v>
      </c>
      <c r="H106" s="48"/>
      <c r="I106" s="48"/>
      <c r="J106" s="48"/>
      <c r="K106" s="48"/>
      <c r="L106" s="8"/>
      <c r="M106" s="19"/>
      <c r="P106" s="91"/>
    </row>
    <row r="107" spans="3:16" ht="12.75" x14ac:dyDescent="0.2">
      <c r="C107" s="2"/>
      <c r="D107" s="47" t="s">
        <v>210</v>
      </c>
      <c r="E107" s="51" t="s">
        <v>211</v>
      </c>
      <c r="F107" s="17" t="s">
        <v>212</v>
      </c>
      <c r="G107" s="18">
        <f t="shared" si="0"/>
        <v>0</v>
      </c>
      <c r="H107" s="48"/>
      <c r="I107" s="48"/>
      <c r="J107" s="48"/>
      <c r="K107" s="48"/>
      <c r="L107" s="8"/>
      <c r="M107" s="19"/>
      <c r="P107" s="91"/>
    </row>
    <row r="108" spans="3:16" ht="45" x14ac:dyDescent="0.2">
      <c r="C108" s="2"/>
      <c r="D108" s="47" t="s">
        <v>213</v>
      </c>
      <c r="E108" s="43" t="s">
        <v>214</v>
      </c>
      <c r="F108" s="17" t="s">
        <v>215</v>
      </c>
      <c r="G108" s="18">
        <f t="shared" si="0"/>
        <v>0</v>
      </c>
      <c r="H108" s="50">
        <f>H109+H110</f>
        <v>0</v>
      </c>
      <c r="I108" s="50">
        <f>I109+I110</f>
        <v>0</v>
      </c>
      <c r="J108" s="50">
        <f>J109+J110</f>
        <v>0</v>
      </c>
      <c r="K108" s="50">
        <f>K109+K110</f>
        <v>0</v>
      </c>
      <c r="L108" s="8"/>
      <c r="M108" s="19"/>
      <c r="P108" s="91"/>
    </row>
    <row r="109" spans="3:16" ht="12.75" x14ac:dyDescent="0.2">
      <c r="C109" s="2"/>
      <c r="D109" s="47" t="s">
        <v>216</v>
      </c>
      <c r="E109" s="51" t="s">
        <v>208</v>
      </c>
      <c r="F109" s="17" t="s">
        <v>217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12.75" x14ac:dyDescent="0.2">
      <c r="C110" s="2"/>
      <c r="D110" s="47" t="s">
        <v>218</v>
      </c>
      <c r="E110" s="51" t="s">
        <v>211</v>
      </c>
      <c r="F110" s="17" t="s">
        <v>219</v>
      </c>
      <c r="G110" s="18">
        <f t="shared" si="0"/>
        <v>0</v>
      </c>
      <c r="H110" s="48"/>
      <c r="I110" s="48"/>
      <c r="J110" s="48"/>
      <c r="K110" s="48"/>
      <c r="L110" s="8"/>
      <c r="M110" s="19"/>
      <c r="P110" s="91"/>
    </row>
    <row r="111" spans="3:16" ht="22.5" x14ac:dyDescent="0.2">
      <c r="C111" s="2"/>
      <c r="D111" s="47" t="s">
        <v>220</v>
      </c>
      <c r="E111" s="43" t="s">
        <v>221</v>
      </c>
      <c r="F111" s="17" t="s">
        <v>222</v>
      </c>
      <c r="G111" s="18">
        <f t="shared" si="0"/>
        <v>0</v>
      </c>
      <c r="H111" s="50">
        <f>H112+H113</f>
        <v>0</v>
      </c>
      <c r="I111" s="50">
        <f>I112+I113</f>
        <v>0</v>
      </c>
      <c r="J111" s="50">
        <f>J112+J113</f>
        <v>0</v>
      </c>
      <c r="K111" s="50">
        <f>K112+K113</f>
        <v>0</v>
      </c>
      <c r="L111" s="8"/>
      <c r="M111" s="19"/>
      <c r="P111" s="91"/>
    </row>
    <row r="112" spans="3:16" ht="12.75" x14ac:dyDescent="0.2">
      <c r="C112" s="2"/>
      <c r="D112" s="47" t="s">
        <v>223</v>
      </c>
      <c r="E112" s="51" t="s">
        <v>208</v>
      </c>
      <c r="F112" s="17" t="s">
        <v>224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12.75" x14ac:dyDescent="0.2">
      <c r="C113" s="2"/>
      <c r="D113" s="47" t="s">
        <v>225</v>
      </c>
      <c r="E113" s="51" t="s">
        <v>211</v>
      </c>
      <c r="F113" s="17" t="s">
        <v>226</v>
      </c>
      <c r="G113" s="18">
        <f t="shared" si="0"/>
        <v>0</v>
      </c>
      <c r="H113" s="48"/>
      <c r="I113" s="48"/>
      <c r="J113" s="48"/>
      <c r="K113" s="48"/>
      <c r="L113" s="8"/>
      <c r="M113" s="19"/>
      <c r="P113" s="91"/>
    </row>
    <row r="114" spans="3:16" ht="22.5" x14ac:dyDescent="0.2">
      <c r="C114" s="2"/>
      <c r="D114" s="47" t="s">
        <v>227</v>
      </c>
      <c r="E114" s="43" t="s">
        <v>228</v>
      </c>
      <c r="F114" s="17" t="s">
        <v>229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230</v>
      </c>
      <c r="E115" s="43" t="s">
        <v>231</v>
      </c>
      <c r="F115" s="17" t="s">
        <v>232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45" x14ac:dyDescent="0.2">
      <c r="C116" s="2"/>
      <c r="D116" s="47" t="s">
        <v>233</v>
      </c>
      <c r="E116" s="43" t="s">
        <v>234</v>
      </c>
      <c r="F116" s="17" t="s">
        <v>235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22.5" x14ac:dyDescent="0.2">
      <c r="C117" s="2"/>
      <c r="D117" s="47" t="s">
        <v>236</v>
      </c>
      <c r="E117" s="43" t="s">
        <v>237</v>
      </c>
      <c r="F117" s="17" t="s">
        <v>238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12.75" x14ac:dyDescent="0.2">
      <c r="C118" s="2"/>
      <c r="D118" s="47" t="s">
        <v>239</v>
      </c>
      <c r="E118" s="20" t="s">
        <v>240</v>
      </c>
      <c r="F118" s="17" t="s">
        <v>241</v>
      </c>
      <c r="G118" s="18">
        <f t="shared" si="0"/>
        <v>0</v>
      </c>
      <c r="H118" s="49">
        <f>H121</f>
        <v>0</v>
      </c>
      <c r="I118" s="49">
        <f>I121</f>
        <v>0</v>
      </c>
      <c r="J118" s="49">
        <f>J121</f>
        <v>0</v>
      </c>
      <c r="K118" s="49">
        <f>K121</f>
        <v>0</v>
      </c>
      <c r="L118" s="8"/>
      <c r="M118" s="19"/>
      <c r="P118" s="91">
        <v>770</v>
      </c>
    </row>
    <row r="119" spans="3:16" ht="12.75" x14ac:dyDescent="0.2">
      <c r="C119" s="2"/>
      <c r="D119" s="47" t="s">
        <v>242</v>
      </c>
      <c r="E119" s="42" t="s">
        <v>184</v>
      </c>
      <c r="F119" s="17" t="s">
        <v>243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>
        <v>780</v>
      </c>
    </row>
    <row r="120" spans="3:16" ht="12.75" x14ac:dyDescent="0.2">
      <c r="C120" s="2"/>
      <c r="D120" s="47" t="s">
        <v>244</v>
      </c>
      <c r="E120" s="43" t="s">
        <v>245</v>
      </c>
      <c r="F120" s="17" t="s">
        <v>246</v>
      </c>
      <c r="G120" s="18">
        <f t="shared" si="0"/>
        <v>0</v>
      </c>
      <c r="H120" s="48"/>
      <c r="I120" s="48"/>
      <c r="J120" s="48"/>
      <c r="K120" s="48"/>
      <c r="L120" s="8"/>
      <c r="M120" s="19"/>
      <c r="P120" s="91"/>
    </row>
    <row r="121" spans="3:16" ht="12.75" x14ac:dyDescent="0.2">
      <c r="C121" s="2"/>
      <c r="D121" s="47" t="s">
        <v>247</v>
      </c>
      <c r="E121" s="42" t="s">
        <v>190</v>
      </c>
      <c r="F121" s="17" t="s">
        <v>248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790</v>
      </c>
    </row>
    <row r="122" spans="3:16" ht="22.5" x14ac:dyDescent="0.2">
      <c r="C122" s="2"/>
      <c r="D122" s="47" t="s">
        <v>249</v>
      </c>
      <c r="E122" s="40" t="s">
        <v>250</v>
      </c>
      <c r="F122" s="17" t="s">
        <v>251</v>
      </c>
      <c r="G122" s="18">
        <f t="shared" si="0"/>
        <v>5502.7710000000006</v>
      </c>
      <c r="H122" s="49">
        <f>SUM(H123:H124)</f>
        <v>32.223999999999997</v>
      </c>
      <c r="I122" s="49">
        <f>SUM(I123:I124)</f>
        <v>3716.0230000000001</v>
      </c>
      <c r="J122" s="49">
        <f>SUM(J123:J124)</f>
        <v>1114</v>
      </c>
      <c r="K122" s="49">
        <f>SUM(K123:K124)</f>
        <v>640.524</v>
      </c>
      <c r="L122" s="8"/>
      <c r="M122" s="19"/>
      <c r="P122" s="91"/>
    </row>
    <row r="123" spans="3:16" ht="12.75" x14ac:dyDescent="0.2">
      <c r="C123" s="2"/>
      <c r="D123" s="47" t="s">
        <v>252</v>
      </c>
      <c r="E123" s="20" t="s">
        <v>178</v>
      </c>
      <c r="F123" s="17" t="s">
        <v>253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/>
    </row>
    <row r="124" spans="3:16" ht="12.75" x14ac:dyDescent="0.2">
      <c r="C124" s="2"/>
      <c r="D124" s="47" t="s">
        <v>254</v>
      </c>
      <c r="E124" s="20" t="s">
        <v>181</v>
      </c>
      <c r="F124" s="17" t="s">
        <v>255</v>
      </c>
      <c r="G124" s="18">
        <f t="shared" si="0"/>
        <v>5502.7710000000006</v>
      </c>
      <c r="H124" s="49">
        <f>H126</f>
        <v>32.223999999999997</v>
      </c>
      <c r="I124" s="49">
        <f>I126</f>
        <v>3716.0230000000001</v>
      </c>
      <c r="J124" s="49">
        <f>J126</f>
        <v>1114</v>
      </c>
      <c r="K124" s="49">
        <f>K126</f>
        <v>640.524</v>
      </c>
      <c r="L124" s="8"/>
      <c r="M124" s="19"/>
      <c r="P124" s="91"/>
    </row>
    <row r="125" spans="3:16" ht="12.75" x14ac:dyDescent="0.2">
      <c r="C125" s="2"/>
      <c r="D125" s="47" t="s">
        <v>256</v>
      </c>
      <c r="E125" s="42" t="s">
        <v>257</v>
      </c>
      <c r="F125" s="17" t="s">
        <v>258</v>
      </c>
      <c r="G125" s="18">
        <f t="shared" si="0"/>
        <v>25.006</v>
      </c>
      <c r="H125" s="48"/>
      <c r="I125" s="48">
        <f>I92</f>
        <v>25.006</v>
      </c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259</v>
      </c>
      <c r="E126" s="42" t="s">
        <v>190</v>
      </c>
      <c r="F126" s="17" t="s">
        <v>260</v>
      </c>
      <c r="G126" s="18">
        <f t="shared" si="0"/>
        <v>5502.7710000000006</v>
      </c>
      <c r="H126" s="48">
        <f>H47</f>
        <v>32.223999999999997</v>
      </c>
      <c r="I126" s="48">
        <f>I33-H47+G47-0.322</f>
        <v>3716.0230000000001</v>
      </c>
      <c r="J126" s="48">
        <f>J33+0.322</f>
        <v>1114</v>
      </c>
      <c r="K126" s="48">
        <f>K33</f>
        <v>640.524</v>
      </c>
      <c r="L126" s="8"/>
      <c r="M126" s="19"/>
      <c r="P126" s="91"/>
    </row>
    <row r="127" spans="3:16" ht="12.75" x14ac:dyDescent="0.2">
      <c r="C127" s="2"/>
      <c r="D127" s="111" t="s">
        <v>261</v>
      </c>
      <c r="E127" s="112"/>
      <c r="F127" s="112"/>
      <c r="G127" s="112"/>
      <c r="H127" s="112"/>
      <c r="I127" s="112"/>
      <c r="J127" s="112"/>
      <c r="K127" s="113"/>
      <c r="L127" s="8"/>
      <c r="M127" s="19"/>
      <c r="P127" s="93"/>
    </row>
    <row r="128" spans="3:16" ht="22.5" x14ac:dyDescent="0.2">
      <c r="C128" s="2"/>
      <c r="D128" s="47" t="s">
        <v>262</v>
      </c>
      <c r="E128" s="16" t="s">
        <v>263</v>
      </c>
      <c r="F128" s="17" t="s">
        <v>264</v>
      </c>
      <c r="G128" s="18">
        <f t="shared" si="0"/>
        <v>0</v>
      </c>
      <c r="H128" s="49">
        <f>SUM( H129:H130)</f>
        <v>0</v>
      </c>
      <c r="I128" s="49">
        <f>SUM( I129:I130)</f>
        <v>0</v>
      </c>
      <c r="J128" s="49">
        <f>SUM( J129:J130)</f>
        <v>0</v>
      </c>
      <c r="K128" s="49">
        <f>SUM( K129:K130)</f>
        <v>0</v>
      </c>
      <c r="L128" s="8"/>
      <c r="M128" s="19"/>
      <c r="P128" s="91">
        <v>800</v>
      </c>
    </row>
    <row r="129" spans="3:16" ht="12.75" x14ac:dyDescent="0.2">
      <c r="C129" s="2"/>
      <c r="D129" s="47" t="s">
        <v>265</v>
      </c>
      <c r="E129" s="20" t="s">
        <v>178</v>
      </c>
      <c r="F129" s="17" t="s">
        <v>266</v>
      </c>
      <c r="G129" s="18">
        <f t="shared" si="0"/>
        <v>0</v>
      </c>
      <c r="H129" s="48"/>
      <c r="I129" s="48"/>
      <c r="J129" s="48"/>
      <c r="K129" s="48"/>
      <c r="L129" s="8"/>
      <c r="M129" s="19"/>
      <c r="P129" s="91">
        <v>810</v>
      </c>
    </row>
    <row r="130" spans="3:16" ht="12.75" x14ac:dyDescent="0.2">
      <c r="C130" s="2"/>
      <c r="D130" s="47" t="s">
        <v>267</v>
      </c>
      <c r="E130" s="20" t="s">
        <v>181</v>
      </c>
      <c r="F130" s="17" t="s">
        <v>268</v>
      </c>
      <c r="G130" s="18">
        <f t="shared" si="0"/>
        <v>0</v>
      </c>
      <c r="H130" s="49">
        <f>H131+H133</f>
        <v>0</v>
      </c>
      <c r="I130" s="49">
        <f>I131+I133</f>
        <v>0</v>
      </c>
      <c r="J130" s="49">
        <f>J131+J133</f>
        <v>0</v>
      </c>
      <c r="K130" s="49">
        <f>K131+K133</f>
        <v>0</v>
      </c>
      <c r="L130" s="8"/>
      <c r="M130" s="19"/>
      <c r="P130" s="91">
        <v>820</v>
      </c>
    </row>
    <row r="131" spans="3:16" ht="12.75" x14ac:dyDescent="0.2">
      <c r="C131" s="2"/>
      <c r="D131" s="47" t="s">
        <v>269</v>
      </c>
      <c r="E131" s="42" t="s">
        <v>270</v>
      </c>
      <c r="F131" s="17" t="s">
        <v>271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830</v>
      </c>
    </row>
    <row r="132" spans="3:16" ht="12.75" x14ac:dyDescent="0.2">
      <c r="C132" s="2"/>
      <c r="D132" s="47" t="s">
        <v>272</v>
      </c>
      <c r="E132" s="43" t="s">
        <v>273</v>
      </c>
      <c r="F132" s="17" t="s">
        <v>274</v>
      </c>
      <c r="G132" s="18">
        <f t="shared" si="0"/>
        <v>0</v>
      </c>
      <c r="H132" s="48"/>
      <c r="I132" s="48"/>
      <c r="J132" s="48"/>
      <c r="K132" s="48"/>
      <c r="L132" s="8"/>
      <c r="M132" s="19"/>
      <c r="P132" s="93"/>
    </row>
    <row r="133" spans="3:16" ht="12.75" x14ac:dyDescent="0.2">
      <c r="C133" s="2"/>
      <c r="D133" s="47" t="s">
        <v>275</v>
      </c>
      <c r="E133" s="42" t="s">
        <v>276</v>
      </c>
      <c r="F133" s="17" t="s">
        <v>277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840</v>
      </c>
    </row>
    <row r="134" spans="3:16" ht="12.75" x14ac:dyDescent="0.2">
      <c r="C134" s="2"/>
      <c r="D134" s="47" t="s">
        <v>19</v>
      </c>
      <c r="E134" s="16" t="s">
        <v>278</v>
      </c>
      <c r="F134" s="17" t="s">
        <v>279</v>
      </c>
      <c r="G134" s="18">
        <f t="shared" si="0"/>
        <v>0</v>
      </c>
      <c r="H134" s="50">
        <f>SUM( H135+H140)</f>
        <v>0</v>
      </c>
      <c r="I134" s="50">
        <f>SUM( I135+I140)</f>
        <v>0</v>
      </c>
      <c r="J134" s="50">
        <f>SUM( J135+J140)</f>
        <v>0</v>
      </c>
      <c r="K134" s="50">
        <f>SUM( K135+K140)</f>
        <v>0</v>
      </c>
      <c r="L134" s="52"/>
      <c r="M134" s="19"/>
      <c r="P134" s="91">
        <v>850</v>
      </c>
    </row>
    <row r="135" spans="3:16" ht="12.75" x14ac:dyDescent="0.2">
      <c r="C135" s="2"/>
      <c r="D135" s="47" t="s">
        <v>280</v>
      </c>
      <c r="E135" s="20" t="s">
        <v>178</v>
      </c>
      <c r="F135" s="17" t="s">
        <v>281</v>
      </c>
      <c r="G135" s="18">
        <f t="shared" ref="G135:G148" si="1">SUM(H135:K135)</f>
        <v>0</v>
      </c>
      <c r="H135" s="50">
        <f>SUM( H136:H137)</f>
        <v>0</v>
      </c>
      <c r="I135" s="50">
        <f>SUM( I136:I137)</f>
        <v>0</v>
      </c>
      <c r="J135" s="50">
        <f>SUM( J136:J137)</f>
        <v>0</v>
      </c>
      <c r="K135" s="50">
        <f>SUM( K136:K137)</f>
        <v>0</v>
      </c>
      <c r="L135" s="52"/>
      <c r="M135" s="19"/>
      <c r="P135" s="91">
        <v>860</v>
      </c>
    </row>
    <row r="136" spans="3:16" ht="12.75" x14ac:dyDescent="0.2">
      <c r="C136" s="2"/>
      <c r="D136" s="47" t="s">
        <v>282</v>
      </c>
      <c r="E136" s="42" t="s">
        <v>199</v>
      </c>
      <c r="F136" s="17" t="s">
        <v>283</v>
      </c>
      <c r="G136" s="18">
        <f t="shared" si="1"/>
        <v>0</v>
      </c>
      <c r="H136" s="53"/>
      <c r="I136" s="53"/>
      <c r="J136" s="53"/>
      <c r="K136" s="53"/>
      <c r="L136" s="52"/>
      <c r="M136" s="19"/>
      <c r="P136" s="91"/>
    </row>
    <row r="137" spans="3:16" ht="12.75" x14ac:dyDescent="0.2">
      <c r="C137" s="2"/>
      <c r="D137" s="47" t="s">
        <v>284</v>
      </c>
      <c r="E137" s="42" t="s">
        <v>202</v>
      </c>
      <c r="F137" s="17" t="s">
        <v>285</v>
      </c>
      <c r="G137" s="18">
        <f t="shared" si="1"/>
        <v>0</v>
      </c>
      <c r="H137" s="50">
        <f>H138+H139</f>
        <v>0</v>
      </c>
      <c r="I137" s="50">
        <f>I138+I139</f>
        <v>0</v>
      </c>
      <c r="J137" s="50">
        <f>J138+J139</f>
        <v>0</v>
      </c>
      <c r="K137" s="50">
        <f>K138+K139</f>
        <v>0</v>
      </c>
      <c r="L137" s="52"/>
      <c r="M137" s="19"/>
      <c r="P137" s="91"/>
    </row>
    <row r="138" spans="3:16" ht="12.75" x14ac:dyDescent="0.2">
      <c r="C138" s="2"/>
      <c r="D138" s="47" t="s">
        <v>286</v>
      </c>
      <c r="E138" s="43" t="s">
        <v>208</v>
      </c>
      <c r="F138" s="17" t="s">
        <v>287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288</v>
      </c>
      <c r="E139" s="43" t="s">
        <v>289</v>
      </c>
      <c r="F139" s="17" t="s">
        <v>290</v>
      </c>
      <c r="G139" s="18">
        <f t="shared" si="1"/>
        <v>0</v>
      </c>
      <c r="H139" s="53"/>
      <c r="I139" s="53"/>
      <c r="J139" s="53"/>
      <c r="K139" s="53"/>
      <c r="L139" s="52"/>
      <c r="M139" s="19"/>
      <c r="P139" s="91"/>
    </row>
    <row r="140" spans="3:16" ht="12.75" x14ac:dyDescent="0.2">
      <c r="C140" s="2"/>
      <c r="D140" s="47" t="s">
        <v>291</v>
      </c>
      <c r="E140" s="20" t="s">
        <v>240</v>
      </c>
      <c r="F140" s="17" t="s">
        <v>292</v>
      </c>
      <c r="G140" s="18">
        <f t="shared" si="1"/>
        <v>0</v>
      </c>
      <c r="H140" s="50">
        <f>H141+H143</f>
        <v>0</v>
      </c>
      <c r="I140" s="50">
        <f>I141+I143</f>
        <v>0</v>
      </c>
      <c r="J140" s="50">
        <f>J141+J143</f>
        <v>0</v>
      </c>
      <c r="K140" s="50">
        <f>K141+K143</f>
        <v>0</v>
      </c>
      <c r="L140" s="52"/>
      <c r="M140" s="19"/>
      <c r="P140" s="91">
        <v>870</v>
      </c>
    </row>
    <row r="141" spans="3:16" ht="12.75" x14ac:dyDescent="0.2">
      <c r="C141" s="2"/>
      <c r="D141" s="47" t="s">
        <v>293</v>
      </c>
      <c r="E141" s="42" t="s">
        <v>270</v>
      </c>
      <c r="F141" s="17" t="s">
        <v>294</v>
      </c>
      <c r="G141" s="18">
        <f t="shared" si="1"/>
        <v>0</v>
      </c>
      <c r="H141" s="48"/>
      <c r="I141" s="48"/>
      <c r="J141" s="48"/>
      <c r="K141" s="48"/>
      <c r="L141" s="52"/>
      <c r="M141" s="19"/>
      <c r="P141" s="91">
        <v>880</v>
      </c>
    </row>
    <row r="142" spans="3:16" ht="12.75" x14ac:dyDescent="0.2">
      <c r="C142" s="2"/>
      <c r="D142" s="47" t="s">
        <v>295</v>
      </c>
      <c r="E142" s="43" t="s">
        <v>273</v>
      </c>
      <c r="F142" s="17" t="s">
        <v>296</v>
      </c>
      <c r="G142" s="18">
        <f t="shared" si="1"/>
        <v>0</v>
      </c>
      <c r="H142" s="48"/>
      <c r="I142" s="48"/>
      <c r="J142" s="48"/>
      <c r="K142" s="48"/>
      <c r="L142" s="52"/>
      <c r="M142" s="19"/>
      <c r="P142" s="91"/>
    </row>
    <row r="143" spans="3:16" ht="12.75" x14ac:dyDescent="0.2">
      <c r="C143" s="2"/>
      <c r="D143" s="47" t="s">
        <v>297</v>
      </c>
      <c r="E143" s="42" t="s">
        <v>276</v>
      </c>
      <c r="F143" s="17" t="s">
        <v>298</v>
      </c>
      <c r="G143" s="18">
        <f t="shared" si="1"/>
        <v>0</v>
      </c>
      <c r="H143" s="54"/>
      <c r="I143" s="54"/>
      <c r="J143" s="54"/>
      <c r="K143" s="54"/>
      <c r="L143" s="52"/>
      <c r="M143" s="19"/>
      <c r="P143" s="91">
        <v>890</v>
      </c>
    </row>
    <row r="144" spans="3:16" ht="22.5" x14ac:dyDescent="0.2">
      <c r="C144" s="2"/>
      <c r="D144" s="47" t="s">
        <v>299</v>
      </c>
      <c r="E144" s="16" t="s">
        <v>300</v>
      </c>
      <c r="F144" s="17" t="s">
        <v>301</v>
      </c>
      <c r="G144" s="18">
        <f t="shared" si="1"/>
        <v>3577.7695141919999</v>
      </c>
      <c r="H144" s="55">
        <f>SUM( H145:H146)</f>
        <v>3.4376563199999999</v>
      </c>
      <c r="I144" s="55">
        <f>SUM( I145:I146)</f>
        <v>3387.1592375519999</v>
      </c>
      <c r="J144" s="55">
        <f>SUM( J145:J146)</f>
        <v>118.84152</v>
      </c>
      <c r="K144" s="55">
        <f>SUM( K145:K146)</f>
        <v>68.331100320000004</v>
      </c>
      <c r="L144" s="52"/>
      <c r="M144" s="19"/>
      <c r="P144" s="91">
        <v>900</v>
      </c>
    </row>
    <row r="145" spans="3:19" ht="12.75" x14ac:dyDescent="0.2">
      <c r="C145" s="2"/>
      <c r="D145" s="47" t="s">
        <v>302</v>
      </c>
      <c r="E145" s="20" t="s">
        <v>178</v>
      </c>
      <c r="F145" s="17" t="s">
        <v>303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/>
    </row>
    <row r="146" spans="3:19" ht="12.75" x14ac:dyDescent="0.2">
      <c r="C146" s="2"/>
      <c r="D146" s="47" t="s">
        <v>304</v>
      </c>
      <c r="E146" s="20" t="s">
        <v>181</v>
      </c>
      <c r="F146" s="17" t="s">
        <v>305</v>
      </c>
      <c r="G146" s="18">
        <f t="shared" si="1"/>
        <v>3577.7695141919999</v>
      </c>
      <c r="H146" s="55">
        <f>H147+H148</f>
        <v>3.4376563199999999</v>
      </c>
      <c r="I146" s="55">
        <f>I147+I148</f>
        <v>3387.1592375519999</v>
      </c>
      <c r="J146" s="55">
        <f>J147+J148</f>
        <v>118.84152</v>
      </c>
      <c r="K146" s="55">
        <f>K147+K148</f>
        <v>68.331100320000004</v>
      </c>
      <c r="L146" s="52"/>
      <c r="M146" s="19"/>
      <c r="P146" s="91"/>
    </row>
    <row r="147" spans="3:19" ht="12.75" x14ac:dyDescent="0.2">
      <c r="C147" s="2"/>
      <c r="D147" s="47" t="s">
        <v>306</v>
      </c>
      <c r="E147" s="42" t="s">
        <v>307</v>
      </c>
      <c r="F147" s="17" t="s">
        <v>308</v>
      </c>
      <c r="G147" s="18">
        <f t="shared" si="1"/>
        <v>2990.7339039119997</v>
      </c>
      <c r="H147" s="54"/>
      <c r="I147" s="54">
        <f>I125*99667.21/1000*1.2</f>
        <v>2990.7339039119997</v>
      </c>
      <c r="J147" s="54"/>
      <c r="K147" s="54"/>
      <c r="L147" s="52"/>
      <c r="M147" s="19"/>
      <c r="P147" s="91" t="s">
        <v>338</v>
      </c>
    </row>
    <row r="148" spans="3:19" ht="12.75" x14ac:dyDescent="0.2">
      <c r="C148" s="2"/>
      <c r="D148" s="47" t="s">
        <v>309</v>
      </c>
      <c r="E148" s="42" t="s">
        <v>276</v>
      </c>
      <c r="F148" s="17" t="s">
        <v>310</v>
      </c>
      <c r="G148" s="18">
        <f t="shared" si="1"/>
        <v>587.03561028000001</v>
      </c>
      <c r="H148" s="54">
        <f>H126*88.9/1000*1.2</f>
        <v>3.4376563199999999</v>
      </c>
      <c r="I148" s="54">
        <f>I126*88.9/1000*1.2</f>
        <v>396.42533364000002</v>
      </c>
      <c r="J148" s="54">
        <f>J126*88.9/1000*1.2</f>
        <v>118.84152</v>
      </c>
      <c r="K148" s="54">
        <f>K126*88.9/1000*1.2</f>
        <v>68.331100320000004</v>
      </c>
      <c r="L148" s="52"/>
      <c r="M148" s="19"/>
      <c r="P148" s="91" t="s">
        <v>339</v>
      </c>
    </row>
    <row r="149" spans="3:19" x14ac:dyDescent="0.25">
      <c r="D149" s="6"/>
      <c r="E149" s="56"/>
      <c r="F149" s="56"/>
      <c r="G149" s="56"/>
      <c r="H149" s="56"/>
      <c r="I149" s="56"/>
      <c r="J149" s="56"/>
      <c r="K149" s="57"/>
      <c r="L149" s="57"/>
      <c r="M149" s="57"/>
      <c r="N149" s="57"/>
      <c r="O149" s="57"/>
      <c r="P149" s="57"/>
      <c r="Q149" s="57"/>
      <c r="R149" s="94"/>
      <c r="S149" s="94"/>
    </row>
    <row r="150" spans="3:19" ht="12.75" x14ac:dyDescent="0.2">
      <c r="E150" s="19" t="s">
        <v>311</v>
      </c>
      <c r="F150" s="103" t="str">
        <f>IF([3]Титульный!G45="","",[3]Титульный!G45)</f>
        <v>экономист</v>
      </c>
      <c r="G150" s="103"/>
      <c r="H150" s="58"/>
      <c r="I150" s="103" t="str">
        <f>IF([3]Титульный!G44="","",[3]Титульный!G44)</f>
        <v>Кривнева Е. В.</v>
      </c>
      <c r="J150" s="103"/>
      <c r="K150" s="103"/>
      <c r="L150" s="58"/>
      <c r="M150" s="59"/>
      <c r="N150" s="59"/>
      <c r="O150" s="61"/>
      <c r="P150" s="57"/>
      <c r="Q150" s="57"/>
      <c r="R150" s="94"/>
      <c r="S150" s="94"/>
    </row>
    <row r="151" spans="3:19" ht="12.75" x14ac:dyDescent="0.2">
      <c r="E151" s="60" t="s">
        <v>312</v>
      </c>
      <c r="F151" s="102" t="s">
        <v>313</v>
      </c>
      <c r="G151" s="102"/>
      <c r="H151" s="61"/>
      <c r="I151" s="102" t="s">
        <v>314</v>
      </c>
      <c r="J151" s="102"/>
      <c r="K151" s="102"/>
      <c r="L151" s="61"/>
      <c r="M151" s="102" t="s">
        <v>315</v>
      </c>
      <c r="N151" s="102"/>
      <c r="O151" s="19"/>
      <c r="P151" s="57"/>
      <c r="Q151" s="57"/>
      <c r="R151" s="94"/>
      <c r="S151" s="94"/>
    </row>
    <row r="152" spans="3:19" ht="12.75" x14ac:dyDescent="0.2">
      <c r="E152" s="60" t="s">
        <v>316</v>
      </c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57"/>
      <c r="Q152" s="57"/>
      <c r="R152" s="94"/>
      <c r="S152" s="94"/>
    </row>
    <row r="153" spans="3:19" ht="12.75" x14ac:dyDescent="0.2">
      <c r="E153" s="60" t="s">
        <v>317</v>
      </c>
      <c r="F153" s="103" t="str">
        <f>IF([3]Титульный!G46="","",[3]Титульный!G46)</f>
        <v>(861) 258-50-71</v>
      </c>
      <c r="G153" s="103"/>
      <c r="H153" s="103"/>
      <c r="I153" s="19"/>
      <c r="J153" s="60" t="s">
        <v>318</v>
      </c>
      <c r="K153" s="62"/>
      <c r="L153" s="19"/>
      <c r="M153" s="19"/>
      <c r="N153" s="19"/>
      <c r="O153" s="19"/>
      <c r="P153" s="57"/>
      <c r="Q153" s="57"/>
      <c r="R153" s="94"/>
      <c r="S153" s="94"/>
    </row>
    <row r="154" spans="3:19" ht="12.75" x14ac:dyDescent="0.2">
      <c r="E154" s="19" t="s">
        <v>319</v>
      </c>
      <c r="F154" s="104" t="s">
        <v>320</v>
      </c>
      <c r="G154" s="104"/>
      <c r="H154" s="104"/>
      <c r="I154" s="19"/>
      <c r="J154" s="63" t="s">
        <v>321</v>
      </c>
      <c r="K154" s="63"/>
      <c r="L154" s="19"/>
      <c r="M154" s="19"/>
      <c r="N154" s="19"/>
      <c r="O154" s="19"/>
      <c r="P154" s="57"/>
      <c r="Q154" s="57"/>
      <c r="R154" s="94"/>
      <c r="S154" s="94"/>
    </row>
    <row r="155" spans="3:19" x14ac:dyDescent="0.25"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94"/>
      <c r="S155" s="94"/>
    </row>
    <row r="156" spans="3:19" x14ac:dyDescent="0.25"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</row>
    <row r="181" spans="5:19" x14ac:dyDescent="0.25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</sheetData>
  <mergeCells count="18">
    <mergeCell ref="F151:G151"/>
    <mergeCell ref="I151:K151"/>
    <mergeCell ref="M151:N151"/>
    <mergeCell ref="F153:H153"/>
    <mergeCell ref="F154:H154"/>
    <mergeCell ref="F150:G150"/>
    <mergeCell ref="I150:K150"/>
    <mergeCell ref="D8:E8"/>
    <mergeCell ref="D11:D12"/>
    <mergeCell ref="E11:E12"/>
    <mergeCell ref="F11:F12"/>
    <mergeCell ref="G11:G12"/>
    <mergeCell ref="H11:K11"/>
    <mergeCell ref="D14:K14"/>
    <mergeCell ref="D52:K52"/>
    <mergeCell ref="D90:K90"/>
    <mergeCell ref="D94:K94"/>
    <mergeCell ref="D127:K127"/>
  </mergeCells>
  <dataValidations count="2">
    <dataValidation allowBlank="1" showInputMessage="1" promptTitle="Ввод" prompt="Для выбора организации необходимо два раза нажать левую клавишу мыши!" sqref="E25 E41 E63 E79"/>
    <dataValidation type="decimal" allowBlank="1" showErrorMessage="1" errorTitle="Ошибка" error="Допускается ввод только действительных чисел!" sqref="G23:K25 G91:K93 G15:K18 G53:K56 G81:K89 G95:K126 G61:K63 G43:K51 G27:K41 G128:K148 G58:K59 G20:K21 G65:K79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115" workbookViewId="0">
      <selection activeCell="K151" sqref="K151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" t="s">
        <v>7</v>
      </c>
      <c r="I12" s="9" t="s">
        <v>8</v>
      </c>
      <c r="J12" s="9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6725.616</v>
      </c>
      <c r="H15" s="18">
        <f>H16+H17+H21+H24</f>
        <v>949.36199999999997</v>
      </c>
      <c r="I15" s="18">
        <f>I16+I17+I21+I24</f>
        <v>5477.9790000000003</v>
      </c>
      <c r="J15" s="18">
        <f>J16+J17+J21+J24</f>
        <v>298.27500000000003</v>
      </c>
      <c r="K15" s="18">
        <f>K16+K17+K21+K24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6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4.9989999999999997</v>
      </c>
      <c r="H17" s="18">
        <f>SUM(H18:H20)</f>
        <v>0</v>
      </c>
      <c r="I17" s="18">
        <f>SUM(I18:I20)</f>
        <v>0</v>
      </c>
      <c r="J17" s="18">
        <f>SUM(J18:J20)</f>
        <v>4.9989999999999997</v>
      </c>
      <c r="K17" s="18">
        <f>SUM(K18:K20)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5" x14ac:dyDescent="0.25">
      <c r="C19" s="30" t="s">
        <v>29</v>
      </c>
      <c r="D19" s="31" t="s">
        <v>340</v>
      </c>
      <c r="E19" s="32" t="s">
        <v>341</v>
      </c>
      <c r="F19" s="33">
        <v>31</v>
      </c>
      <c r="G19" s="34">
        <f>SUM(H19:K19)</f>
        <v>4.9989999999999997</v>
      </c>
      <c r="H19" s="35"/>
      <c r="I19" s="35"/>
      <c r="J19" s="35">
        <v>4.9989999999999997</v>
      </c>
      <c r="K19" s="36"/>
      <c r="L19" s="13"/>
      <c r="M19" s="37" t="s">
        <v>342</v>
      </c>
      <c r="N19" s="38" t="s">
        <v>343</v>
      </c>
      <c r="O19" s="38" t="s">
        <v>344</v>
      </c>
    </row>
    <row r="20" spans="3:16" s="14" customFormat="1" ht="12.75" x14ac:dyDescent="0.2">
      <c r="C20" s="12"/>
      <c r="D20" s="26"/>
      <c r="E20" s="27" t="s">
        <v>20</v>
      </c>
      <c r="F20" s="28"/>
      <c r="G20" s="28"/>
      <c r="H20" s="28"/>
      <c r="I20" s="28"/>
      <c r="J20" s="28"/>
      <c r="K20" s="29"/>
      <c r="L20" s="13"/>
      <c r="M20" s="19"/>
      <c r="P20" s="92"/>
    </row>
    <row r="21" spans="3:16" s="14" customFormat="1" ht="12.75" x14ac:dyDescent="0.2">
      <c r="C21" s="12"/>
      <c r="D21" s="15" t="s">
        <v>21</v>
      </c>
      <c r="E21" s="20" t="s">
        <v>22</v>
      </c>
      <c r="F21" s="17" t="s">
        <v>23</v>
      </c>
      <c r="G21" s="18">
        <f t="shared" si="0"/>
        <v>0</v>
      </c>
      <c r="H21" s="18">
        <f>SUM(H22:H23)</f>
        <v>0</v>
      </c>
      <c r="I21" s="18">
        <f>SUM(I22:I23)</f>
        <v>0</v>
      </c>
      <c r="J21" s="18">
        <f>SUM(J22:J23)</f>
        <v>0</v>
      </c>
      <c r="K21" s="18">
        <f>SUM(K22:K23)</f>
        <v>0</v>
      </c>
      <c r="L21" s="13"/>
      <c r="M21" s="19"/>
      <c r="P21" s="92"/>
    </row>
    <row r="22" spans="3:16" s="14" customFormat="1" ht="12.75" x14ac:dyDescent="0.2">
      <c r="C22" s="12"/>
      <c r="D22" s="22" t="s">
        <v>24</v>
      </c>
      <c r="E22" s="23"/>
      <c r="F22" s="24" t="s">
        <v>23</v>
      </c>
      <c r="G22" s="25"/>
      <c r="H22" s="25"/>
      <c r="I22" s="25"/>
      <c r="J22" s="25"/>
      <c r="K22" s="25"/>
      <c r="L22" s="13"/>
      <c r="M22" s="19"/>
      <c r="P22" s="91"/>
    </row>
    <row r="23" spans="3:16" s="14" customFormat="1" ht="12.75" x14ac:dyDescent="0.2">
      <c r="C23" s="12"/>
      <c r="D23" s="26"/>
      <c r="E23" s="27" t="s">
        <v>20</v>
      </c>
      <c r="F23" s="28"/>
      <c r="G23" s="28"/>
      <c r="H23" s="28"/>
      <c r="I23" s="28"/>
      <c r="J23" s="28"/>
      <c r="K23" s="29"/>
      <c r="L23" s="13"/>
      <c r="M23" s="19"/>
      <c r="P23" s="92"/>
    </row>
    <row r="24" spans="3:16" s="14" customFormat="1" ht="12.75" x14ac:dyDescent="0.2">
      <c r="C24" s="12"/>
      <c r="D24" s="15" t="s">
        <v>25</v>
      </c>
      <c r="E24" s="20" t="s">
        <v>26</v>
      </c>
      <c r="F24" s="17" t="s">
        <v>27</v>
      </c>
      <c r="G24" s="18">
        <f t="shared" si="0"/>
        <v>6720.6170000000002</v>
      </c>
      <c r="H24" s="18">
        <f>SUM(H25:H27)</f>
        <v>949.36199999999997</v>
      </c>
      <c r="I24" s="18">
        <f>SUM(I25:I27)</f>
        <v>5477.9790000000003</v>
      </c>
      <c r="J24" s="18">
        <f>SUM(J25:J27)</f>
        <v>293.27600000000001</v>
      </c>
      <c r="K24" s="18">
        <f>SUM(K25:K27)</f>
        <v>0</v>
      </c>
      <c r="L24" s="13"/>
      <c r="M24" s="19"/>
      <c r="P24" s="91">
        <v>40</v>
      </c>
    </row>
    <row r="25" spans="3:16" s="14" customFormat="1" ht="12.75" x14ac:dyDescent="0.2">
      <c r="C25" s="12"/>
      <c r="D25" s="22" t="s">
        <v>28</v>
      </c>
      <c r="E25" s="23"/>
      <c r="F25" s="24" t="s">
        <v>27</v>
      </c>
      <c r="G25" s="25"/>
      <c r="H25" s="25"/>
      <c r="I25" s="25"/>
      <c r="J25" s="25"/>
      <c r="K25" s="25"/>
      <c r="L25" s="13"/>
      <c r="M25" s="19"/>
      <c r="P25" s="91"/>
    </row>
    <row r="26" spans="3:16" s="14" customFormat="1" ht="15" x14ac:dyDescent="0.25">
      <c r="C26" s="30" t="s">
        <v>29</v>
      </c>
      <c r="D26" s="31" t="s">
        <v>30</v>
      </c>
      <c r="E26" s="32" t="s">
        <v>31</v>
      </c>
      <c r="F26" s="33">
        <v>431</v>
      </c>
      <c r="G26" s="34">
        <f>SUM(H26:K26)</f>
        <v>6720.6170000000002</v>
      </c>
      <c r="H26" s="35">
        <v>949.36199999999997</v>
      </c>
      <c r="I26" s="35">
        <v>5477.9790000000003</v>
      </c>
      <c r="J26" s="35">
        <v>293.27600000000001</v>
      </c>
      <c r="K26" s="36"/>
      <c r="L26" s="13"/>
      <c r="M26" s="37" t="s">
        <v>32</v>
      </c>
      <c r="N26" s="38" t="s">
        <v>33</v>
      </c>
      <c r="O26" s="38" t="s">
        <v>336</v>
      </c>
    </row>
    <row r="27" spans="3:16" s="14" customFormat="1" ht="12.75" x14ac:dyDescent="0.2">
      <c r="C27" s="12"/>
      <c r="D27" s="26"/>
      <c r="E27" s="27" t="s">
        <v>20</v>
      </c>
      <c r="F27" s="28"/>
      <c r="G27" s="28"/>
      <c r="H27" s="28"/>
      <c r="I27" s="28"/>
      <c r="J27" s="28"/>
      <c r="K27" s="29"/>
      <c r="L27" s="13"/>
      <c r="M27" s="19"/>
      <c r="P27" s="91"/>
    </row>
    <row r="28" spans="3:16" s="14" customFormat="1" ht="12.75" x14ac:dyDescent="0.2">
      <c r="C28" s="12"/>
      <c r="D28" s="15" t="s">
        <v>34</v>
      </c>
      <c r="E28" s="16" t="s">
        <v>35</v>
      </c>
      <c r="F28" s="17" t="s">
        <v>36</v>
      </c>
      <c r="G28" s="18">
        <f t="shared" si="0"/>
        <v>3152.404</v>
      </c>
      <c r="H28" s="18">
        <f>H30+H31+H32</f>
        <v>0</v>
      </c>
      <c r="I28" s="18">
        <f>I29+I31+I32</f>
        <v>0</v>
      </c>
      <c r="J28" s="18">
        <f>J29+J30+J32</f>
        <v>2157.3690000000001</v>
      </c>
      <c r="K28" s="18">
        <f>K29+K30+K31</f>
        <v>995.03499999999985</v>
      </c>
      <c r="L28" s="13"/>
      <c r="M28" s="19"/>
      <c r="P28" s="91">
        <v>50</v>
      </c>
    </row>
    <row r="29" spans="3:16" s="14" customFormat="1" ht="12.75" x14ac:dyDescent="0.2">
      <c r="C29" s="12"/>
      <c r="D29" s="15" t="s">
        <v>37</v>
      </c>
      <c r="E29" s="20" t="s">
        <v>7</v>
      </c>
      <c r="F29" s="17" t="s">
        <v>38</v>
      </c>
      <c r="G29" s="18">
        <f t="shared" si="0"/>
        <v>944.64699999999993</v>
      </c>
      <c r="H29" s="39"/>
      <c r="I29" s="21"/>
      <c r="J29" s="21">
        <f>H45</f>
        <v>944.64699999999993</v>
      </c>
      <c r="K29" s="21"/>
      <c r="L29" s="13"/>
      <c r="M29" s="19"/>
      <c r="P29" s="91">
        <v>60</v>
      </c>
    </row>
    <row r="30" spans="3:16" s="14" customFormat="1" ht="12.75" x14ac:dyDescent="0.2">
      <c r="C30" s="12"/>
      <c r="D30" s="15" t="s">
        <v>39</v>
      </c>
      <c r="E30" s="20" t="s">
        <v>8</v>
      </c>
      <c r="F30" s="17" t="s">
        <v>40</v>
      </c>
      <c r="G30" s="18">
        <f t="shared" si="0"/>
        <v>1212.7220000000002</v>
      </c>
      <c r="H30" s="21"/>
      <c r="I30" s="39"/>
      <c r="J30" s="21">
        <f>I26-I34-I48</f>
        <v>1212.7220000000002</v>
      </c>
      <c r="K30" s="21"/>
      <c r="L30" s="13"/>
      <c r="M30" s="19"/>
      <c r="P30" s="91">
        <v>70</v>
      </c>
    </row>
    <row r="31" spans="3:16" s="14" customFormat="1" ht="12.75" x14ac:dyDescent="0.2">
      <c r="C31" s="12"/>
      <c r="D31" s="15" t="s">
        <v>41</v>
      </c>
      <c r="E31" s="20" t="s">
        <v>9</v>
      </c>
      <c r="F31" s="17" t="s">
        <v>42</v>
      </c>
      <c r="G31" s="18">
        <f t="shared" si="0"/>
        <v>995.03499999999985</v>
      </c>
      <c r="H31" s="21"/>
      <c r="I31" s="21"/>
      <c r="J31" s="39"/>
      <c r="K31" s="21">
        <f>J24+J28+J17-J48-J34</f>
        <v>995.03499999999985</v>
      </c>
      <c r="L31" s="13"/>
      <c r="M31" s="19"/>
      <c r="P31" s="91">
        <v>80</v>
      </c>
    </row>
    <row r="32" spans="3:16" s="14" customFormat="1" ht="12.75" x14ac:dyDescent="0.2">
      <c r="C32" s="12"/>
      <c r="D32" s="15" t="s">
        <v>43</v>
      </c>
      <c r="E32" s="20" t="s">
        <v>44</v>
      </c>
      <c r="F32" s="17" t="s">
        <v>45</v>
      </c>
      <c r="G32" s="18">
        <f t="shared" si="0"/>
        <v>0</v>
      </c>
      <c r="H32" s="21"/>
      <c r="I32" s="21"/>
      <c r="J32" s="21"/>
      <c r="K32" s="39"/>
      <c r="L32" s="13"/>
      <c r="M32" s="19"/>
      <c r="P32" s="91">
        <v>90</v>
      </c>
    </row>
    <row r="33" spans="3:16" s="14" customFormat="1" ht="12.75" x14ac:dyDescent="0.2">
      <c r="C33" s="12"/>
      <c r="D33" s="15" t="s">
        <v>46</v>
      </c>
      <c r="E33" s="40" t="s">
        <v>47</v>
      </c>
      <c r="F33" s="17" t="s">
        <v>48</v>
      </c>
      <c r="G33" s="18">
        <f t="shared" si="0"/>
        <v>0</v>
      </c>
      <c r="H33" s="21"/>
      <c r="I33" s="21"/>
      <c r="J33" s="21"/>
      <c r="K33" s="21"/>
      <c r="L33" s="13"/>
      <c r="M33" s="19"/>
      <c r="P33" s="91"/>
    </row>
    <row r="34" spans="3:16" s="14" customFormat="1" ht="12.75" x14ac:dyDescent="0.2">
      <c r="C34" s="12"/>
      <c r="D34" s="15" t="s">
        <v>49</v>
      </c>
      <c r="E34" s="16" t="s">
        <v>50</v>
      </c>
      <c r="F34" s="41" t="s">
        <v>51</v>
      </c>
      <c r="G34" s="18">
        <f t="shared" si="0"/>
        <v>6561.8950000000004</v>
      </c>
      <c r="H34" s="18">
        <f>H35+H37+H40+H44</f>
        <v>0</v>
      </c>
      <c r="I34" s="18">
        <f>I35+I37+I40+I44</f>
        <v>4230.0630000000001</v>
      </c>
      <c r="J34" s="18">
        <f>J35+J37+J40+J44</f>
        <v>1422.8530000000001</v>
      </c>
      <c r="K34" s="18">
        <f>K35+K37+K40+K44</f>
        <v>908.97900000000004</v>
      </c>
      <c r="L34" s="13"/>
      <c r="M34" s="19"/>
      <c r="P34" s="91">
        <v>100</v>
      </c>
    </row>
    <row r="35" spans="3:16" s="14" customFormat="1" ht="22.5" x14ac:dyDescent="0.2">
      <c r="C35" s="12"/>
      <c r="D35" s="15" t="s">
        <v>52</v>
      </c>
      <c r="E35" s="20" t="s">
        <v>53</v>
      </c>
      <c r="F35" s="17" t="s">
        <v>54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55</v>
      </c>
      <c r="E36" s="42" t="s">
        <v>56</v>
      </c>
      <c r="F36" s="17" t="s">
        <v>57</v>
      </c>
      <c r="G36" s="18">
        <f t="shared" si="0"/>
        <v>0</v>
      </c>
      <c r="H36" s="21"/>
      <c r="I36" s="21"/>
      <c r="J36" s="21"/>
      <c r="K36" s="21"/>
      <c r="L36" s="13"/>
      <c r="M36" s="19"/>
      <c r="P36" s="91"/>
    </row>
    <row r="37" spans="3:16" s="14" customFormat="1" ht="12.75" x14ac:dyDescent="0.2">
      <c r="C37" s="12"/>
      <c r="D37" s="15" t="s">
        <v>58</v>
      </c>
      <c r="E37" s="20" t="s">
        <v>59</v>
      </c>
      <c r="F37" s="17" t="s">
        <v>60</v>
      </c>
      <c r="G37" s="18">
        <f t="shared" si="0"/>
        <v>3112.3</v>
      </c>
      <c r="H37" s="21">
        <v>0</v>
      </c>
      <c r="I37" s="21">
        <f>4230.063-I42</f>
        <v>780.4680000000003</v>
      </c>
      <c r="J37" s="21">
        <v>1422.8530000000001</v>
      </c>
      <c r="K37" s="21">
        <v>908.97900000000004</v>
      </c>
      <c r="L37" s="13"/>
      <c r="M37" s="19"/>
      <c r="P37" s="91"/>
    </row>
    <row r="38" spans="3:16" s="14" customFormat="1" ht="12.75" x14ac:dyDescent="0.2">
      <c r="C38" s="12"/>
      <c r="D38" s="15" t="s">
        <v>61</v>
      </c>
      <c r="E38" s="42" t="s">
        <v>62</v>
      </c>
      <c r="F38" s="17" t="s">
        <v>63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64</v>
      </c>
      <c r="E39" s="43" t="s">
        <v>56</v>
      </c>
      <c r="F39" s="17" t="s">
        <v>65</v>
      </c>
      <c r="G39" s="18">
        <f t="shared" si="0"/>
        <v>0</v>
      </c>
      <c r="H39" s="21"/>
      <c r="I39" s="21"/>
      <c r="J39" s="21"/>
      <c r="K39" s="21"/>
      <c r="L39" s="13"/>
      <c r="M39" s="19"/>
      <c r="P39" s="91"/>
    </row>
    <row r="40" spans="3:16" s="14" customFormat="1" ht="12.75" x14ac:dyDescent="0.2">
      <c r="C40" s="12"/>
      <c r="D40" s="15" t="s">
        <v>66</v>
      </c>
      <c r="E40" s="20" t="s">
        <v>67</v>
      </c>
      <c r="F40" s="17" t="s">
        <v>68</v>
      </c>
      <c r="G40" s="18">
        <f t="shared" si="0"/>
        <v>3449.5949999999998</v>
      </c>
      <c r="H40" s="18">
        <f>SUM(H41:H43)</f>
        <v>0</v>
      </c>
      <c r="I40" s="18">
        <f>SUM(I41:I43)</f>
        <v>3449.5949999999998</v>
      </c>
      <c r="J40" s="18">
        <f>SUM(J41:J43)</f>
        <v>0</v>
      </c>
      <c r="K40" s="18">
        <f>SUM(K41:K43)</f>
        <v>0</v>
      </c>
      <c r="L40" s="13"/>
      <c r="M40" s="19"/>
      <c r="P40" s="91"/>
    </row>
    <row r="41" spans="3:16" s="14" customFormat="1" ht="12.75" x14ac:dyDescent="0.2">
      <c r="C41" s="12"/>
      <c r="D41" s="22" t="s">
        <v>69</v>
      </c>
      <c r="E41" s="23"/>
      <c r="F41" s="24" t="s">
        <v>68</v>
      </c>
      <c r="G41" s="25"/>
      <c r="H41" s="25"/>
      <c r="I41" s="25"/>
      <c r="J41" s="25"/>
      <c r="K41" s="25"/>
      <c r="L41" s="13"/>
      <c r="M41" s="19"/>
      <c r="P41" s="91"/>
    </row>
    <row r="42" spans="3:16" s="14" customFormat="1" ht="15" x14ac:dyDescent="0.25">
      <c r="C42" s="30" t="s">
        <v>29</v>
      </c>
      <c r="D42" s="31" t="s">
        <v>70</v>
      </c>
      <c r="E42" s="32" t="s">
        <v>71</v>
      </c>
      <c r="F42" s="33">
        <v>751</v>
      </c>
      <c r="G42" s="34">
        <f>SUM(H42:K42)</f>
        <v>3449.5949999999998</v>
      </c>
      <c r="H42" s="35"/>
      <c r="I42" s="35">
        <v>3449.5949999999998</v>
      </c>
      <c r="J42" s="35"/>
      <c r="K42" s="36"/>
      <c r="L42" s="13"/>
      <c r="M42" s="37" t="s">
        <v>72</v>
      </c>
      <c r="N42" s="38" t="s">
        <v>73</v>
      </c>
      <c r="O42" s="38" t="s">
        <v>337</v>
      </c>
    </row>
    <row r="43" spans="3:16" s="14" customFormat="1" ht="12.75" x14ac:dyDescent="0.2">
      <c r="C43" s="12"/>
      <c r="D43" s="44"/>
      <c r="E43" s="27" t="s">
        <v>20</v>
      </c>
      <c r="F43" s="28"/>
      <c r="G43" s="28"/>
      <c r="H43" s="28"/>
      <c r="I43" s="28"/>
      <c r="J43" s="28"/>
      <c r="K43" s="29"/>
      <c r="L43" s="13"/>
      <c r="M43" s="19"/>
      <c r="P43" s="91"/>
    </row>
    <row r="44" spans="3:16" s="14" customFormat="1" ht="12.75" x14ac:dyDescent="0.2">
      <c r="C44" s="12"/>
      <c r="D44" s="15" t="s">
        <v>74</v>
      </c>
      <c r="E44" s="45" t="s">
        <v>75</v>
      </c>
      <c r="F44" s="17" t="s">
        <v>76</v>
      </c>
      <c r="G44" s="18">
        <f t="shared" si="0"/>
        <v>0</v>
      </c>
      <c r="H44" s="21"/>
      <c r="I44" s="21"/>
      <c r="J44" s="21"/>
      <c r="K44" s="21"/>
      <c r="L44" s="13"/>
      <c r="M44" s="19"/>
      <c r="P44" s="91">
        <v>120</v>
      </c>
    </row>
    <row r="45" spans="3:16" s="14" customFormat="1" ht="12.75" x14ac:dyDescent="0.2">
      <c r="C45" s="12"/>
      <c r="D45" s="15" t="s">
        <v>77</v>
      </c>
      <c r="E45" s="16" t="s">
        <v>78</v>
      </c>
      <c r="F45" s="17" t="s">
        <v>79</v>
      </c>
      <c r="G45" s="18">
        <f t="shared" si="0"/>
        <v>3152.404</v>
      </c>
      <c r="H45" s="21">
        <f>H26-H48</f>
        <v>944.64699999999993</v>
      </c>
      <c r="I45" s="21">
        <f>I15-I34-I48</f>
        <v>1212.7220000000002</v>
      </c>
      <c r="J45" s="21">
        <f>J24+J28+J17-J34-J48</f>
        <v>995.03499999999974</v>
      </c>
      <c r="K45" s="21">
        <f>K31-K34-K48</f>
        <v>-1.8474111129762605E-13</v>
      </c>
      <c r="L45" s="13"/>
      <c r="M45" s="19"/>
      <c r="P45" s="91">
        <v>150</v>
      </c>
    </row>
    <row r="46" spans="3:16" s="14" customFormat="1" ht="12.75" x14ac:dyDescent="0.2">
      <c r="C46" s="12"/>
      <c r="D46" s="15" t="s">
        <v>80</v>
      </c>
      <c r="E46" s="16" t="s">
        <v>81</v>
      </c>
      <c r="F46" s="17" t="s">
        <v>82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160</v>
      </c>
    </row>
    <row r="47" spans="3:16" s="14" customFormat="1" ht="12.75" x14ac:dyDescent="0.2">
      <c r="C47" s="12"/>
      <c r="D47" s="15" t="s">
        <v>83</v>
      </c>
      <c r="E47" s="16" t="s">
        <v>84</v>
      </c>
      <c r="F47" s="17" t="s">
        <v>85</v>
      </c>
      <c r="G47" s="18">
        <f t="shared" si="0"/>
        <v>0</v>
      </c>
      <c r="H47" s="21"/>
      <c r="I47" s="21"/>
      <c r="J47" s="21"/>
      <c r="K47" s="21"/>
      <c r="L47" s="13"/>
      <c r="M47" s="19"/>
      <c r="P47" s="91">
        <v>180</v>
      </c>
    </row>
    <row r="48" spans="3:16" s="14" customFormat="1" ht="12.75" x14ac:dyDescent="0.2">
      <c r="C48" s="12"/>
      <c r="D48" s="15" t="s">
        <v>86</v>
      </c>
      <c r="E48" s="16" t="s">
        <v>87</v>
      </c>
      <c r="F48" s="17" t="s">
        <v>88</v>
      </c>
      <c r="G48" s="18">
        <f t="shared" si="0"/>
        <v>163.721</v>
      </c>
      <c r="H48" s="21">
        <v>4.7149999999999999</v>
      </c>
      <c r="I48" s="21">
        <v>35.194000000000003</v>
      </c>
      <c r="J48" s="21">
        <v>37.756</v>
      </c>
      <c r="K48" s="21">
        <v>86.055999999999997</v>
      </c>
      <c r="L48" s="13"/>
      <c r="M48" s="19"/>
      <c r="P48" s="91">
        <v>190</v>
      </c>
    </row>
    <row r="49" spans="3:16" s="14" customFormat="1" ht="12.75" x14ac:dyDescent="0.2">
      <c r="C49" s="12"/>
      <c r="D49" s="15" t="s">
        <v>89</v>
      </c>
      <c r="E49" s="20" t="s">
        <v>90</v>
      </c>
      <c r="F49" s="17" t="s">
        <v>91</v>
      </c>
      <c r="G49" s="18">
        <f t="shared" si="0"/>
        <v>0</v>
      </c>
      <c r="H49" s="21"/>
      <c r="I49" s="21"/>
      <c r="J49" s="21"/>
      <c r="K49" s="21"/>
      <c r="L49" s="13"/>
      <c r="M49" s="19"/>
      <c r="P49" s="91">
        <v>200</v>
      </c>
    </row>
    <row r="50" spans="3:16" s="14" customFormat="1" ht="22.5" x14ac:dyDescent="0.2">
      <c r="C50" s="12"/>
      <c r="D50" s="15" t="s">
        <v>92</v>
      </c>
      <c r="E50" s="16" t="s">
        <v>93</v>
      </c>
      <c r="F50" s="17" t="s">
        <v>94</v>
      </c>
      <c r="G50" s="18">
        <f t="shared" si="0"/>
        <v>53</v>
      </c>
      <c r="H50" s="21"/>
      <c r="I50" s="21">
        <f>53*0.2468</f>
        <v>13.080399999999999</v>
      </c>
      <c r="J50" s="21">
        <f>53*0.3293</f>
        <v>17.4529</v>
      </c>
      <c r="K50" s="21">
        <f>53*0.4239</f>
        <v>22.466699999999999</v>
      </c>
      <c r="L50" s="13"/>
      <c r="M50" s="19"/>
      <c r="P50" s="92"/>
    </row>
    <row r="51" spans="3:16" s="14" customFormat="1" ht="33.75" x14ac:dyDescent="0.2">
      <c r="C51" s="12"/>
      <c r="D51" s="15" t="s">
        <v>95</v>
      </c>
      <c r="E51" s="40" t="s">
        <v>96</v>
      </c>
      <c r="F51" s="17" t="s">
        <v>97</v>
      </c>
      <c r="G51" s="18">
        <f t="shared" si="0"/>
        <v>110.721</v>
      </c>
      <c r="H51" s="18">
        <f>H48-H50</f>
        <v>4.7149999999999999</v>
      </c>
      <c r="I51" s="18">
        <f>I48-I50</f>
        <v>22.113600000000005</v>
      </c>
      <c r="J51" s="18">
        <f>J48-J50</f>
        <v>20.303100000000001</v>
      </c>
      <c r="K51" s="18">
        <f>K48-K50</f>
        <v>63.589299999999994</v>
      </c>
      <c r="L51" s="13"/>
      <c r="M51" s="19"/>
      <c r="P51" s="92"/>
    </row>
    <row r="52" spans="3:16" s="14" customFormat="1" ht="12.75" x14ac:dyDescent="0.2">
      <c r="C52" s="12"/>
      <c r="D52" s="15" t="s">
        <v>98</v>
      </c>
      <c r="E52" s="16" t="s">
        <v>99</v>
      </c>
      <c r="F52" s="17" t="s">
        <v>100</v>
      </c>
      <c r="G52" s="18">
        <f t="shared" si="0"/>
        <v>0</v>
      </c>
      <c r="H52" s="18">
        <f>(H15+H28+H33)-(H34+H45+H46+H47+H48)</f>
        <v>0</v>
      </c>
      <c r="I52" s="18">
        <f>(I15+I28+I33)-(I34+I45+I46+I47+I48)</f>
        <v>0</v>
      </c>
      <c r="J52" s="18">
        <f>(J15+J28+J33)-(J34+J45+J46+J47+J48)</f>
        <v>0</v>
      </c>
      <c r="K52" s="18">
        <f>(K15+K28+K33)-(K34+K45+K46+K47+K48)</f>
        <v>0</v>
      </c>
      <c r="L52" s="13"/>
      <c r="M52" s="19"/>
      <c r="P52" s="91">
        <v>210</v>
      </c>
    </row>
    <row r="53" spans="3:16" s="14" customFormat="1" ht="12.75" x14ac:dyDescent="0.2">
      <c r="C53" s="12"/>
      <c r="D53" s="111" t="s">
        <v>101</v>
      </c>
      <c r="E53" s="112"/>
      <c r="F53" s="112"/>
      <c r="G53" s="112"/>
      <c r="H53" s="112"/>
      <c r="I53" s="112"/>
      <c r="J53" s="112"/>
      <c r="K53" s="113"/>
      <c r="L53" s="13"/>
      <c r="M53" s="19"/>
      <c r="P53" s="92"/>
    </row>
    <row r="54" spans="3:16" s="14" customFormat="1" ht="12.75" x14ac:dyDescent="0.2">
      <c r="C54" s="12"/>
      <c r="D54" s="15" t="s">
        <v>102</v>
      </c>
      <c r="E54" s="16" t="s">
        <v>13</v>
      </c>
      <c r="F54" s="17" t="s">
        <v>103</v>
      </c>
      <c r="G54" s="18">
        <f t="shared" si="0"/>
        <v>9.039806451612904</v>
      </c>
      <c r="H54" s="18">
        <f>H55+H56+H60+H63</f>
        <v>1.2760241935483871</v>
      </c>
      <c r="I54" s="18">
        <f>I55+I56+I60+I63</f>
        <v>7.3628750000000007</v>
      </c>
      <c r="J54" s="18">
        <f>J55+J56+J60+J63</f>
        <v>0.40090725806451616</v>
      </c>
      <c r="K54" s="18">
        <f>K55+K56+K60+K63</f>
        <v>0</v>
      </c>
      <c r="L54" s="13"/>
      <c r="M54" s="19"/>
      <c r="P54" s="91">
        <v>300</v>
      </c>
    </row>
    <row r="55" spans="3:16" s="14" customFormat="1" ht="12.75" x14ac:dyDescent="0.2">
      <c r="C55" s="12"/>
      <c r="D55" s="15" t="s">
        <v>104</v>
      </c>
      <c r="E55" s="20" t="s">
        <v>15</v>
      </c>
      <c r="F55" s="17" t="s">
        <v>105</v>
      </c>
      <c r="G55" s="18">
        <f t="shared" si="0"/>
        <v>0</v>
      </c>
      <c r="H55" s="21"/>
      <c r="I55" s="21"/>
      <c r="J55" s="21"/>
      <c r="K55" s="21"/>
      <c r="L55" s="13"/>
      <c r="M55" s="19"/>
      <c r="P55" s="91">
        <v>310</v>
      </c>
    </row>
    <row r="56" spans="3:16" s="14" customFormat="1" ht="12.75" x14ac:dyDescent="0.2">
      <c r="C56" s="12"/>
      <c r="D56" s="15" t="s">
        <v>106</v>
      </c>
      <c r="E56" s="20" t="s">
        <v>17</v>
      </c>
      <c r="F56" s="17" t="s">
        <v>107</v>
      </c>
      <c r="G56" s="18">
        <f t="shared" si="0"/>
        <v>6.7190860215053756E-3</v>
      </c>
      <c r="H56" s="18">
        <f>SUM(H57:H59)</f>
        <v>0</v>
      </c>
      <c r="I56" s="18">
        <f>SUM(I57:I59)</f>
        <v>0</v>
      </c>
      <c r="J56" s="18">
        <f>SUM(J57:J59)</f>
        <v>6.7190860215053756E-3</v>
      </c>
      <c r="K56" s="18">
        <f>SUM(K57:K59)</f>
        <v>0</v>
      </c>
      <c r="L56" s="13"/>
      <c r="M56" s="19"/>
      <c r="P56" s="91">
        <v>320</v>
      </c>
    </row>
    <row r="57" spans="3:16" s="14" customFormat="1" ht="12.75" x14ac:dyDescent="0.2">
      <c r="C57" s="12"/>
      <c r="D57" s="22" t="s">
        <v>108</v>
      </c>
      <c r="E57" s="23"/>
      <c r="F57" s="24" t="s">
        <v>107</v>
      </c>
      <c r="G57" s="25"/>
      <c r="H57" s="25"/>
      <c r="I57" s="25"/>
      <c r="J57" s="25"/>
      <c r="K57" s="25"/>
      <c r="L57" s="13"/>
      <c r="M57" s="19"/>
      <c r="P57" s="91"/>
    </row>
    <row r="58" spans="3:16" s="14" customFormat="1" ht="15" x14ac:dyDescent="0.25">
      <c r="C58" s="30" t="s">
        <v>29</v>
      </c>
      <c r="D58" s="31" t="s">
        <v>345</v>
      </c>
      <c r="E58" s="32" t="s">
        <v>341</v>
      </c>
      <c r="F58" s="33">
        <v>1061</v>
      </c>
      <c r="G58" s="34">
        <f>SUM(H58:K58)</f>
        <v>6.7190860215053756E-3</v>
      </c>
      <c r="H58" s="35"/>
      <c r="I58" s="35"/>
      <c r="J58" s="35">
        <f>J19/744</f>
        <v>6.7190860215053756E-3</v>
      </c>
      <c r="K58" s="36"/>
      <c r="L58" s="13"/>
      <c r="M58" s="37" t="s">
        <v>342</v>
      </c>
      <c r="N58" s="38" t="s">
        <v>343</v>
      </c>
      <c r="O58" s="38" t="s">
        <v>344</v>
      </c>
    </row>
    <row r="59" spans="3:16" s="14" customFormat="1" ht="12.75" x14ac:dyDescent="0.2">
      <c r="C59" s="12"/>
      <c r="D59" s="26"/>
      <c r="E59" s="27" t="s">
        <v>20</v>
      </c>
      <c r="F59" s="28"/>
      <c r="G59" s="28"/>
      <c r="H59" s="28"/>
      <c r="I59" s="28"/>
      <c r="J59" s="28"/>
      <c r="K59" s="29"/>
      <c r="L59" s="13"/>
      <c r="M59" s="19"/>
      <c r="P59" s="91"/>
    </row>
    <row r="60" spans="3:16" s="14" customFormat="1" ht="12.75" x14ac:dyDescent="0.2">
      <c r="C60" s="12"/>
      <c r="D60" s="15" t="s">
        <v>109</v>
      </c>
      <c r="E60" s="20" t="s">
        <v>22</v>
      </c>
      <c r="F60" s="17" t="s">
        <v>110</v>
      </c>
      <c r="G60" s="18">
        <f t="shared" si="0"/>
        <v>0</v>
      </c>
      <c r="H60" s="18">
        <f>SUM(H61:H62)</f>
        <v>0</v>
      </c>
      <c r="I60" s="18">
        <f>SUM(I61:I62)</f>
        <v>0</v>
      </c>
      <c r="J60" s="18">
        <f>SUM(J61:J62)</f>
        <v>0</v>
      </c>
      <c r="K60" s="18">
        <f>SUM(K61:K62)</f>
        <v>0</v>
      </c>
      <c r="L60" s="13"/>
      <c r="M60" s="19"/>
      <c r="P60" s="91"/>
    </row>
    <row r="61" spans="3:16" s="14" customFormat="1" ht="12.75" x14ac:dyDescent="0.2">
      <c r="C61" s="12"/>
      <c r="D61" s="22" t="s">
        <v>111</v>
      </c>
      <c r="E61" s="23"/>
      <c r="F61" s="24" t="s">
        <v>110</v>
      </c>
      <c r="G61" s="25"/>
      <c r="H61" s="25"/>
      <c r="I61" s="25"/>
      <c r="J61" s="25"/>
      <c r="K61" s="25"/>
      <c r="L61" s="13"/>
      <c r="M61" s="19"/>
      <c r="P61" s="91"/>
    </row>
    <row r="62" spans="3:16" s="14" customFormat="1" ht="12.75" x14ac:dyDescent="0.2">
      <c r="C62" s="12"/>
      <c r="D62" s="26"/>
      <c r="E62" s="27" t="s">
        <v>20</v>
      </c>
      <c r="F62" s="28"/>
      <c r="G62" s="28"/>
      <c r="H62" s="28"/>
      <c r="I62" s="28"/>
      <c r="J62" s="28"/>
      <c r="K62" s="29"/>
      <c r="L62" s="13"/>
      <c r="M62" s="19"/>
      <c r="P62" s="91"/>
    </row>
    <row r="63" spans="3:16" s="14" customFormat="1" ht="12.75" x14ac:dyDescent="0.2">
      <c r="C63" s="12"/>
      <c r="D63" s="15" t="s">
        <v>112</v>
      </c>
      <c r="E63" s="20" t="s">
        <v>26</v>
      </c>
      <c r="F63" s="17" t="s">
        <v>113</v>
      </c>
      <c r="G63" s="18">
        <f t="shared" si="0"/>
        <v>9.033087365591399</v>
      </c>
      <c r="H63" s="18">
        <f>SUM(H64:H66)</f>
        <v>1.2760241935483871</v>
      </c>
      <c r="I63" s="18">
        <f>SUM(I64:I66)</f>
        <v>7.3628750000000007</v>
      </c>
      <c r="J63" s="18">
        <f>SUM(J64:J66)</f>
        <v>0.39418817204301076</v>
      </c>
      <c r="K63" s="18">
        <f>SUM(K64:K66)</f>
        <v>0</v>
      </c>
      <c r="L63" s="13"/>
      <c r="M63" s="19"/>
      <c r="P63" s="91">
        <v>330</v>
      </c>
    </row>
    <row r="64" spans="3:16" s="14" customFormat="1" ht="12.75" x14ac:dyDescent="0.2">
      <c r="C64" s="12"/>
      <c r="D64" s="22" t="s">
        <v>114</v>
      </c>
      <c r="E64" s="23"/>
      <c r="F64" s="24" t="s">
        <v>113</v>
      </c>
      <c r="G64" s="25"/>
      <c r="H64" s="25"/>
      <c r="I64" s="25"/>
      <c r="J64" s="25"/>
      <c r="K64" s="25"/>
      <c r="L64" s="13"/>
      <c r="M64" s="19"/>
      <c r="P64" s="91"/>
    </row>
    <row r="65" spans="3:16" s="14" customFormat="1" ht="15" x14ac:dyDescent="0.25">
      <c r="C65" s="30" t="s">
        <v>29</v>
      </c>
      <c r="D65" s="31" t="s">
        <v>115</v>
      </c>
      <c r="E65" s="32" t="s">
        <v>31</v>
      </c>
      <c r="F65" s="33">
        <v>1461</v>
      </c>
      <c r="G65" s="34">
        <f>SUM(H65:K65)</f>
        <v>9.033087365591399</v>
      </c>
      <c r="H65" s="35">
        <f>H26/744</f>
        <v>1.2760241935483871</v>
      </c>
      <c r="I65" s="35">
        <f>I26/744</f>
        <v>7.3628750000000007</v>
      </c>
      <c r="J65" s="35">
        <f>J26/744</f>
        <v>0.39418817204301076</v>
      </c>
      <c r="K65" s="35"/>
      <c r="L65" s="13"/>
      <c r="M65" s="37" t="s">
        <v>32</v>
      </c>
      <c r="N65" s="38" t="s">
        <v>33</v>
      </c>
      <c r="O65" s="38" t="s">
        <v>336</v>
      </c>
    </row>
    <row r="66" spans="3:16" s="14" customFormat="1" ht="12.75" x14ac:dyDescent="0.2">
      <c r="C66" s="12"/>
      <c r="D66" s="26"/>
      <c r="E66" s="27" t="s">
        <v>20</v>
      </c>
      <c r="F66" s="28"/>
      <c r="G66" s="28"/>
      <c r="H66" s="28"/>
      <c r="I66" s="28"/>
      <c r="J66" s="28"/>
      <c r="K66" s="29"/>
      <c r="L66" s="13"/>
      <c r="M66" s="19"/>
      <c r="P66" s="91"/>
    </row>
    <row r="67" spans="3:16" s="14" customFormat="1" ht="12.75" x14ac:dyDescent="0.2">
      <c r="C67" s="12"/>
      <c r="D67" s="15" t="s">
        <v>116</v>
      </c>
      <c r="E67" s="16" t="s">
        <v>35</v>
      </c>
      <c r="F67" s="17" t="s">
        <v>117</v>
      </c>
      <c r="G67" s="18">
        <f t="shared" si="0"/>
        <v>4.2371021505376341</v>
      </c>
      <c r="H67" s="18">
        <f>H69+H70+H71</f>
        <v>0</v>
      </c>
      <c r="I67" s="18">
        <f>I68+I70+I71</f>
        <v>0</v>
      </c>
      <c r="J67" s="18">
        <f>J68+J69+J71</f>
        <v>2.8996895161290324</v>
      </c>
      <c r="K67" s="18">
        <f>K68+K69+K70</f>
        <v>1.3374126344086019</v>
      </c>
      <c r="L67" s="13"/>
      <c r="M67" s="19"/>
      <c r="P67" s="91">
        <v>340</v>
      </c>
    </row>
    <row r="68" spans="3:16" s="14" customFormat="1" ht="12.75" x14ac:dyDescent="0.2">
      <c r="C68" s="12"/>
      <c r="D68" s="15" t="s">
        <v>118</v>
      </c>
      <c r="E68" s="20" t="s">
        <v>7</v>
      </c>
      <c r="F68" s="17" t="s">
        <v>119</v>
      </c>
      <c r="G68" s="18">
        <f t="shared" si="0"/>
        <v>1.2696868279569891</v>
      </c>
      <c r="H68" s="39"/>
      <c r="I68" s="21"/>
      <c r="J68" s="21">
        <f>J29/744</f>
        <v>1.2696868279569891</v>
      </c>
      <c r="K68" s="21"/>
      <c r="L68" s="13"/>
      <c r="M68" s="19"/>
      <c r="P68" s="91">
        <v>350</v>
      </c>
    </row>
    <row r="69" spans="3:16" s="14" customFormat="1" ht="12.75" x14ac:dyDescent="0.2">
      <c r="C69" s="12"/>
      <c r="D69" s="15" t="s">
        <v>120</v>
      </c>
      <c r="E69" s="20" t="s">
        <v>8</v>
      </c>
      <c r="F69" s="17" t="s">
        <v>121</v>
      </c>
      <c r="G69" s="18">
        <f t="shared" si="0"/>
        <v>1.6300026881720433</v>
      </c>
      <c r="H69" s="21"/>
      <c r="I69" s="46"/>
      <c r="J69" s="21">
        <f>J30/744</f>
        <v>1.6300026881720433</v>
      </c>
      <c r="K69" s="21"/>
      <c r="L69" s="13"/>
      <c r="M69" s="19"/>
      <c r="P69" s="91">
        <v>360</v>
      </c>
    </row>
    <row r="70" spans="3:16" s="14" customFormat="1" ht="12.75" x14ac:dyDescent="0.2">
      <c r="C70" s="12"/>
      <c r="D70" s="15" t="s">
        <v>122</v>
      </c>
      <c r="E70" s="20" t="s">
        <v>9</v>
      </c>
      <c r="F70" s="17" t="s">
        <v>123</v>
      </c>
      <c r="G70" s="18">
        <f t="shared" si="0"/>
        <v>1.3374126344086019</v>
      </c>
      <c r="H70" s="21"/>
      <c r="I70" s="21"/>
      <c r="J70" s="39"/>
      <c r="K70" s="21">
        <f>K31/744</f>
        <v>1.3374126344086019</v>
      </c>
      <c r="L70" s="13"/>
      <c r="M70" s="19"/>
      <c r="P70" s="91">
        <v>370</v>
      </c>
    </row>
    <row r="71" spans="3:16" s="14" customFormat="1" ht="12.75" x14ac:dyDescent="0.2">
      <c r="C71" s="12"/>
      <c r="D71" s="15" t="s">
        <v>124</v>
      </c>
      <c r="E71" s="20" t="s">
        <v>44</v>
      </c>
      <c r="F71" s="17" t="s">
        <v>125</v>
      </c>
      <c r="G71" s="18">
        <f t="shared" si="0"/>
        <v>0</v>
      </c>
      <c r="H71" s="21"/>
      <c r="I71" s="21"/>
      <c r="J71" s="21"/>
      <c r="K71" s="39"/>
      <c r="L71" s="13"/>
      <c r="M71" s="19"/>
      <c r="P71" s="91">
        <v>380</v>
      </c>
    </row>
    <row r="72" spans="3:16" s="14" customFormat="1" ht="12.75" x14ac:dyDescent="0.2">
      <c r="C72" s="12"/>
      <c r="D72" s="15" t="s">
        <v>126</v>
      </c>
      <c r="E72" s="40" t="s">
        <v>47</v>
      </c>
      <c r="F72" s="17" t="s">
        <v>127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128</v>
      </c>
      <c r="E73" s="16" t="s">
        <v>50</v>
      </c>
      <c r="F73" s="41" t="s">
        <v>129</v>
      </c>
      <c r="G73" s="18">
        <f t="shared" si="0"/>
        <v>8.819751344086022</v>
      </c>
      <c r="H73" s="18">
        <f>H74+H76+H79+H83</f>
        <v>0</v>
      </c>
      <c r="I73" s="18">
        <f>I74+I76+I79+I83</f>
        <v>5.6855685483870975</v>
      </c>
      <c r="J73" s="18">
        <f>J74+J76+J79+J83</f>
        <v>1.9124368279569894</v>
      </c>
      <c r="K73" s="18">
        <f>K74+K76+K79+K83</f>
        <v>1.2217459677419356</v>
      </c>
      <c r="L73" s="13"/>
      <c r="M73" s="19"/>
      <c r="P73" s="91">
        <v>390</v>
      </c>
    </row>
    <row r="74" spans="3:16" s="14" customFormat="1" ht="22.5" x14ac:dyDescent="0.2">
      <c r="C74" s="12"/>
      <c r="D74" s="15" t="s">
        <v>130</v>
      </c>
      <c r="E74" s="20" t="s">
        <v>53</v>
      </c>
      <c r="F74" s="17" t="s">
        <v>131</v>
      </c>
      <c r="G74" s="18">
        <f t="shared" si="0"/>
        <v>0</v>
      </c>
      <c r="H74" s="21"/>
      <c r="I74" s="21"/>
      <c r="J74" s="21"/>
      <c r="K74" s="21"/>
      <c r="L74" s="13"/>
      <c r="M74" s="19"/>
      <c r="P74" s="91"/>
    </row>
    <row r="75" spans="3:16" s="14" customFormat="1" ht="12.75" x14ac:dyDescent="0.2">
      <c r="C75" s="12"/>
      <c r="D75" s="15" t="s">
        <v>132</v>
      </c>
      <c r="E75" s="42" t="s">
        <v>56</v>
      </c>
      <c r="F75" s="17" t="s">
        <v>133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134</v>
      </c>
      <c r="E76" s="20" t="s">
        <v>59</v>
      </c>
      <c r="F76" s="17" t="s">
        <v>135</v>
      </c>
      <c r="G76" s="18">
        <f t="shared" si="0"/>
        <v>4.1831989247311832</v>
      </c>
      <c r="H76" s="21"/>
      <c r="I76" s="21">
        <f>I37/744</f>
        <v>1.0490161290322584</v>
      </c>
      <c r="J76" s="21">
        <f>J37/744</f>
        <v>1.9124368279569894</v>
      </c>
      <c r="K76" s="21">
        <f>K37/744</f>
        <v>1.2217459677419356</v>
      </c>
      <c r="L76" s="13"/>
      <c r="M76" s="19"/>
      <c r="P76" s="91"/>
    </row>
    <row r="77" spans="3:16" s="14" customFormat="1" ht="12.75" x14ac:dyDescent="0.2">
      <c r="C77" s="12"/>
      <c r="D77" s="15" t="s">
        <v>136</v>
      </c>
      <c r="E77" s="42" t="s">
        <v>62</v>
      </c>
      <c r="F77" s="17" t="s">
        <v>137</v>
      </c>
      <c r="G77" s="18">
        <f t="shared" si="0"/>
        <v>0</v>
      </c>
      <c r="H77" s="21"/>
      <c r="I77" s="21"/>
      <c r="J77" s="21"/>
      <c r="K77" s="21"/>
      <c r="L77" s="13"/>
      <c r="M77" s="19"/>
      <c r="P77" s="91"/>
    </row>
    <row r="78" spans="3:16" s="14" customFormat="1" ht="12.75" x14ac:dyDescent="0.2">
      <c r="C78" s="12"/>
      <c r="D78" s="15" t="s">
        <v>138</v>
      </c>
      <c r="E78" s="43" t="s">
        <v>56</v>
      </c>
      <c r="F78" s="17" t="s">
        <v>139</v>
      </c>
      <c r="G78" s="18">
        <f t="shared" si="0"/>
        <v>0</v>
      </c>
      <c r="H78" s="21"/>
      <c r="I78" s="21"/>
      <c r="J78" s="21"/>
      <c r="K78" s="21"/>
      <c r="L78" s="13"/>
      <c r="M78" s="19"/>
      <c r="P78" s="91"/>
    </row>
    <row r="79" spans="3:16" s="14" customFormat="1" ht="12.75" x14ac:dyDescent="0.2">
      <c r="C79" s="12"/>
      <c r="D79" s="15" t="s">
        <v>140</v>
      </c>
      <c r="E79" s="20" t="s">
        <v>67</v>
      </c>
      <c r="F79" s="17" t="s">
        <v>141</v>
      </c>
      <c r="G79" s="18">
        <f t="shared" si="0"/>
        <v>4.6365524193548389</v>
      </c>
      <c r="H79" s="18">
        <f>SUM(H80:H82)</f>
        <v>0</v>
      </c>
      <c r="I79" s="18">
        <f>SUM(I80:I82)</f>
        <v>4.6365524193548389</v>
      </c>
      <c r="J79" s="18">
        <f>SUM(J80:J82)</f>
        <v>0</v>
      </c>
      <c r="K79" s="18">
        <f>SUM(K80:K82)</f>
        <v>0</v>
      </c>
      <c r="L79" s="13"/>
      <c r="M79" s="19"/>
      <c r="P79" s="91"/>
    </row>
    <row r="80" spans="3:16" s="14" customFormat="1" ht="12.75" x14ac:dyDescent="0.2">
      <c r="C80" s="12"/>
      <c r="D80" s="22" t="s">
        <v>142</v>
      </c>
      <c r="E80" s="23"/>
      <c r="F80" s="24" t="s">
        <v>141</v>
      </c>
      <c r="G80" s="25"/>
      <c r="H80" s="25"/>
      <c r="I80" s="25"/>
      <c r="J80" s="25"/>
      <c r="K80" s="25"/>
      <c r="L80" s="13"/>
      <c r="M80" s="19"/>
      <c r="P80" s="91"/>
    </row>
    <row r="81" spans="3:16" s="14" customFormat="1" ht="15" x14ac:dyDescent="0.25">
      <c r="C81" s="30" t="s">
        <v>29</v>
      </c>
      <c r="D81" s="31" t="s">
        <v>143</v>
      </c>
      <c r="E81" s="32" t="s">
        <v>71</v>
      </c>
      <c r="F81" s="33">
        <v>1781</v>
      </c>
      <c r="G81" s="34">
        <f>SUM(H81:K81)</f>
        <v>4.6365524193548389</v>
      </c>
      <c r="H81" s="35"/>
      <c r="I81" s="35">
        <f>I42/744</f>
        <v>4.6365524193548389</v>
      </c>
      <c r="J81" s="35"/>
      <c r="K81" s="36"/>
      <c r="L81" s="13"/>
      <c r="M81" s="37" t="s">
        <v>72</v>
      </c>
      <c r="N81" s="38" t="s">
        <v>73</v>
      </c>
      <c r="O81" s="38" t="s">
        <v>337</v>
      </c>
    </row>
    <row r="82" spans="3:16" s="14" customFormat="1" ht="12.75" x14ac:dyDescent="0.2">
      <c r="C82" s="12"/>
      <c r="D82" s="26"/>
      <c r="E82" s="27" t="s">
        <v>20</v>
      </c>
      <c r="F82" s="28"/>
      <c r="G82" s="28"/>
      <c r="H82" s="28"/>
      <c r="I82" s="28"/>
      <c r="J82" s="28"/>
      <c r="K82" s="29"/>
      <c r="L82" s="13"/>
      <c r="M82" s="19"/>
      <c r="P82" s="91"/>
    </row>
    <row r="83" spans="3:16" s="14" customFormat="1" ht="12.75" x14ac:dyDescent="0.2">
      <c r="C83" s="12"/>
      <c r="D83" s="15" t="s">
        <v>144</v>
      </c>
      <c r="E83" s="45" t="s">
        <v>75</v>
      </c>
      <c r="F83" s="17" t="s">
        <v>145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410</v>
      </c>
    </row>
    <row r="84" spans="3:16" s="14" customFormat="1" ht="12.75" x14ac:dyDescent="0.2">
      <c r="C84" s="12"/>
      <c r="D84" s="15" t="s">
        <v>146</v>
      </c>
      <c r="E84" s="16" t="s">
        <v>78</v>
      </c>
      <c r="F84" s="17" t="s">
        <v>147</v>
      </c>
      <c r="G84" s="18">
        <f t="shared" si="0"/>
        <v>4.2371021505376341</v>
      </c>
      <c r="H84" s="21">
        <f>H45/744</f>
        <v>1.2696868279569891</v>
      </c>
      <c r="I84" s="21">
        <f>I45/744</f>
        <v>1.6300026881720433</v>
      </c>
      <c r="J84" s="21">
        <f>J45/744</f>
        <v>1.3374126344086017</v>
      </c>
      <c r="K84" s="21"/>
      <c r="L84" s="13"/>
      <c r="M84" s="19"/>
      <c r="P84" s="91">
        <v>440</v>
      </c>
    </row>
    <row r="85" spans="3:16" s="14" customFormat="1" ht="12.75" x14ac:dyDescent="0.2">
      <c r="C85" s="12"/>
      <c r="D85" s="15" t="s">
        <v>148</v>
      </c>
      <c r="E85" s="16" t="s">
        <v>81</v>
      </c>
      <c r="F85" s="17" t="s">
        <v>149</v>
      </c>
      <c r="G85" s="18">
        <f t="shared" si="0"/>
        <v>0</v>
      </c>
      <c r="H85" s="21"/>
      <c r="I85" s="21"/>
      <c r="J85" s="21"/>
      <c r="K85" s="21"/>
      <c r="L85" s="13"/>
      <c r="M85" s="19"/>
      <c r="P85" s="91">
        <v>450</v>
      </c>
    </row>
    <row r="86" spans="3:16" s="14" customFormat="1" ht="12.75" x14ac:dyDescent="0.2">
      <c r="C86" s="12"/>
      <c r="D86" s="15" t="s">
        <v>150</v>
      </c>
      <c r="E86" s="16" t="s">
        <v>84</v>
      </c>
      <c r="F86" s="17" t="s">
        <v>151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470</v>
      </c>
    </row>
    <row r="87" spans="3:16" s="14" customFormat="1" ht="12.75" x14ac:dyDescent="0.2">
      <c r="C87" s="12"/>
      <c r="D87" s="15" t="s">
        <v>152</v>
      </c>
      <c r="E87" s="16" t="s">
        <v>87</v>
      </c>
      <c r="F87" s="17" t="s">
        <v>153</v>
      </c>
      <c r="G87" s="18">
        <f t="shared" si="0"/>
        <v>0.22005510752688173</v>
      </c>
      <c r="H87" s="21">
        <f>H48/744</f>
        <v>6.3373655913978493E-3</v>
      </c>
      <c r="I87" s="21">
        <f>I48/744</f>
        <v>4.7303763440860222E-2</v>
      </c>
      <c r="J87" s="21">
        <f>J48/744</f>
        <v>5.0747311827956991E-2</v>
      </c>
      <c r="K87" s="21">
        <f>K48/744</f>
        <v>0.11566666666666667</v>
      </c>
      <c r="L87" s="13"/>
      <c r="M87" s="19"/>
      <c r="P87" s="91">
        <v>480</v>
      </c>
    </row>
    <row r="88" spans="3:16" s="14" customFormat="1" ht="12.75" x14ac:dyDescent="0.2">
      <c r="C88" s="12"/>
      <c r="D88" s="15" t="s">
        <v>154</v>
      </c>
      <c r="E88" s="20" t="s">
        <v>155</v>
      </c>
      <c r="F88" s="17" t="s">
        <v>156</v>
      </c>
      <c r="G88" s="18">
        <f t="shared" si="0"/>
        <v>0</v>
      </c>
      <c r="H88" s="21"/>
      <c r="I88" s="21"/>
      <c r="J88" s="21"/>
      <c r="K88" s="21"/>
      <c r="L88" s="13"/>
      <c r="M88" s="19"/>
      <c r="P88" s="91">
        <v>490</v>
      </c>
    </row>
    <row r="89" spans="3:16" s="14" customFormat="1" ht="22.5" x14ac:dyDescent="0.2">
      <c r="C89" s="12"/>
      <c r="D89" s="15" t="s">
        <v>157</v>
      </c>
      <c r="E89" s="16" t="s">
        <v>93</v>
      </c>
      <c r="F89" s="17" t="s">
        <v>158</v>
      </c>
      <c r="G89" s="18">
        <f t="shared" si="0"/>
        <v>7.1236559139784938E-2</v>
      </c>
      <c r="H89" s="21"/>
      <c r="I89" s="21">
        <f>I50/744</f>
        <v>1.7581182795698924E-2</v>
      </c>
      <c r="J89" s="21">
        <f>J50/744</f>
        <v>2.3458198924731184E-2</v>
      </c>
      <c r="K89" s="21">
        <f>K50/744</f>
        <v>3.0197177419354838E-2</v>
      </c>
      <c r="L89" s="13"/>
      <c r="M89" s="19"/>
      <c r="P89" s="91"/>
    </row>
    <row r="90" spans="3:16" s="14" customFormat="1" ht="33.75" x14ac:dyDescent="0.2">
      <c r="C90" s="12"/>
      <c r="D90" s="15" t="s">
        <v>159</v>
      </c>
      <c r="E90" s="40" t="s">
        <v>96</v>
      </c>
      <c r="F90" s="17" t="s">
        <v>160</v>
      </c>
      <c r="G90" s="18">
        <f t="shared" si="0"/>
        <v>0.14881854838709679</v>
      </c>
      <c r="H90" s="18">
        <f>H87-H89</f>
        <v>6.3373655913978493E-3</v>
      </c>
      <c r="I90" s="18">
        <f>I87-I89</f>
        <v>2.9722580645161298E-2</v>
      </c>
      <c r="J90" s="18">
        <f>J87-J89</f>
        <v>2.7289112903225807E-2</v>
      </c>
      <c r="K90" s="18">
        <f>K87-K89</f>
        <v>8.5469489247311833E-2</v>
      </c>
      <c r="L90" s="13"/>
      <c r="M90" s="19"/>
      <c r="P90" s="91"/>
    </row>
    <row r="91" spans="3:16" s="14" customFormat="1" ht="12.75" x14ac:dyDescent="0.2">
      <c r="C91" s="12"/>
      <c r="D91" s="15" t="s">
        <v>161</v>
      </c>
      <c r="E91" s="16" t="s">
        <v>99</v>
      </c>
      <c r="F91" s="17" t="s">
        <v>162</v>
      </c>
      <c r="G91" s="18">
        <f t="shared" si="0"/>
        <v>0</v>
      </c>
      <c r="H91" s="18">
        <f>(H54+H67+H72)-(H73+H84+H85+H86+H87)</f>
        <v>0</v>
      </c>
      <c r="I91" s="18">
        <f>(I54+I67+I72)-(I73+I84+I85+I86+I87)</f>
        <v>0</v>
      </c>
      <c r="J91" s="18">
        <f>(J54+J67+J72)-(J73+J84+J85+J86+J87)</f>
        <v>0</v>
      </c>
      <c r="K91" s="18">
        <f>(K54+K67+K72)-(K73+K84+K85+K86+K87)</f>
        <v>0</v>
      </c>
      <c r="L91" s="13"/>
      <c r="M91" s="19"/>
      <c r="P91" s="91">
        <v>500</v>
      </c>
    </row>
    <row r="92" spans="3:16" s="14" customFormat="1" ht="12.75" x14ac:dyDescent="0.2">
      <c r="C92" s="12"/>
      <c r="D92" s="111" t="s">
        <v>163</v>
      </c>
      <c r="E92" s="112"/>
      <c r="F92" s="112"/>
      <c r="G92" s="112"/>
      <c r="H92" s="112"/>
      <c r="I92" s="112"/>
      <c r="J92" s="112"/>
      <c r="K92" s="113"/>
      <c r="L92" s="13"/>
      <c r="M92" s="19"/>
      <c r="P92" s="92"/>
    </row>
    <row r="93" spans="3:16" s="14" customFormat="1" ht="12.75" x14ac:dyDescent="0.2">
      <c r="C93" s="12"/>
      <c r="D93" s="15" t="s">
        <v>164</v>
      </c>
      <c r="E93" s="16" t="s">
        <v>165</v>
      </c>
      <c r="F93" s="17" t="s">
        <v>166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600</v>
      </c>
    </row>
    <row r="94" spans="3:16" s="14" customFormat="1" ht="12.75" x14ac:dyDescent="0.2">
      <c r="C94" s="12"/>
      <c r="D94" s="15" t="s">
        <v>167</v>
      </c>
      <c r="E94" s="16" t="s">
        <v>168</v>
      </c>
      <c r="F94" s="17" t="s">
        <v>169</v>
      </c>
      <c r="G94" s="18">
        <f t="shared" si="0"/>
        <v>25.006</v>
      </c>
      <c r="H94" s="21"/>
      <c r="I94" s="21">
        <v>25.006</v>
      </c>
      <c r="J94" s="21"/>
      <c r="K94" s="21"/>
      <c r="L94" s="13"/>
      <c r="M94" s="19"/>
      <c r="P94" s="91">
        <v>610</v>
      </c>
    </row>
    <row r="95" spans="3:16" s="14" customFormat="1" ht="12.75" x14ac:dyDescent="0.2">
      <c r="C95" s="12"/>
      <c r="D95" s="15" t="s">
        <v>170</v>
      </c>
      <c r="E95" s="16" t="s">
        <v>171</v>
      </c>
      <c r="F95" s="17" t="s">
        <v>172</v>
      </c>
      <c r="G95" s="18">
        <f t="shared" si="0"/>
        <v>0</v>
      </c>
      <c r="H95" s="21"/>
      <c r="I95" s="21"/>
      <c r="J95" s="21"/>
      <c r="K95" s="21"/>
      <c r="L95" s="13"/>
      <c r="M95" s="19"/>
      <c r="P95" s="91">
        <v>620</v>
      </c>
    </row>
    <row r="96" spans="3:16" s="14" customFormat="1" ht="12.75" x14ac:dyDescent="0.2">
      <c r="C96" s="12"/>
      <c r="D96" s="111" t="s">
        <v>173</v>
      </c>
      <c r="E96" s="112"/>
      <c r="F96" s="112"/>
      <c r="G96" s="112"/>
      <c r="H96" s="112"/>
      <c r="I96" s="112"/>
      <c r="J96" s="112"/>
      <c r="K96" s="113"/>
      <c r="L96" s="13"/>
      <c r="M96" s="19"/>
      <c r="P96" s="92"/>
    </row>
    <row r="97" spans="3:16" s="14" customFormat="1" ht="12.75" x14ac:dyDescent="0.2">
      <c r="C97" s="12"/>
      <c r="D97" s="15" t="s">
        <v>174</v>
      </c>
      <c r="E97" s="16" t="s">
        <v>175</v>
      </c>
      <c r="F97" s="17" t="s">
        <v>176</v>
      </c>
      <c r="G97" s="18">
        <f t="shared" si="0"/>
        <v>0</v>
      </c>
      <c r="H97" s="18">
        <f>SUM(H98:H99)</f>
        <v>0</v>
      </c>
      <c r="I97" s="18">
        <f>SUM(I98:I99)</f>
        <v>0</v>
      </c>
      <c r="J97" s="18">
        <f>SUM(J98:J99)</f>
        <v>0</v>
      </c>
      <c r="K97" s="18">
        <f>SUM(K98:K99)</f>
        <v>0</v>
      </c>
      <c r="L97" s="13"/>
      <c r="M97" s="19"/>
      <c r="P97" s="91">
        <v>700</v>
      </c>
    </row>
    <row r="98" spans="3:16" ht="12.75" x14ac:dyDescent="0.2">
      <c r="C98" s="2"/>
      <c r="D98" s="47" t="s">
        <v>177</v>
      </c>
      <c r="E98" s="20" t="s">
        <v>178</v>
      </c>
      <c r="F98" s="17" t="s">
        <v>179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710</v>
      </c>
    </row>
    <row r="99" spans="3:16" ht="12.75" x14ac:dyDescent="0.2">
      <c r="C99" s="2"/>
      <c r="D99" s="47" t="s">
        <v>180</v>
      </c>
      <c r="E99" s="20" t="s">
        <v>181</v>
      </c>
      <c r="F99" s="17" t="s">
        <v>182</v>
      </c>
      <c r="G99" s="18">
        <f t="shared" si="0"/>
        <v>0</v>
      </c>
      <c r="H99" s="49">
        <f>H102</f>
        <v>0</v>
      </c>
      <c r="I99" s="49">
        <f>I102</f>
        <v>0</v>
      </c>
      <c r="J99" s="49">
        <f>J102</f>
        <v>0</v>
      </c>
      <c r="K99" s="49">
        <f>K102</f>
        <v>0</v>
      </c>
      <c r="L99" s="8"/>
      <c r="M99" s="19"/>
      <c r="P99" s="91">
        <v>720</v>
      </c>
    </row>
    <row r="100" spans="3:16" ht="12.75" x14ac:dyDescent="0.2">
      <c r="C100" s="2"/>
      <c r="D100" s="47" t="s">
        <v>183</v>
      </c>
      <c r="E100" s="42" t="s">
        <v>184</v>
      </c>
      <c r="F100" s="17" t="s">
        <v>185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730</v>
      </c>
    </row>
    <row r="101" spans="3:16" ht="12.75" x14ac:dyDescent="0.2">
      <c r="C101" s="2"/>
      <c r="D101" s="47" t="s">
        <v>186</v>
      </c>
      <c r="E101" s="43" t="s">
        <v>187</v>
      </c>
      <c r="F101" s="17" t="s">
        <v>188</v>
      </c>
      <c r="G101" s="18">
        <f t="shared" si="0"/>
        <v>0</v>
      </c>
      <c r="H101" s="48"/>
      <c r="I101" s="48"/>
      <c r="J101" s="48"/>
      <c r="K101" s="48"/>
      <c r="L101" s="8"/>
      <c r="M101" s="19"/>
      <c r="P101" s="91"/>
    </row>
    <row r="102" spans="3:16" ht="12.75" x14ac:dyDescent="0.2">
      <c r="C102" s="2"/>
      <c r="D102" s="47" t="s">
        <v>189</v>
      </c>
      <c r="E102" s="42" t="s">
        <v>190</v>
      </c>
      <c r="F102" s="17" t="s">
        <v>191</v>
      </c>
      <c r="G102" s="18">
        <f t="shared" si="0"/>
        <v>0</v>
      </c>
      <c r="H102" s="48"/>
      <c r="I102" s="48"/>
      <c r="J102" s="48"/>
      <c r="K102" s="48"/>
      <c r="L102" s="8"/>
      <c r="M102" s="19"/>
      <c r="P102" s="91">
        <v>740</v>
      </c>
    </row>
    <row r="103" spans="3:16" ht="12.75" x14ac:dyDescent="0.2">
      <c r="C103" s="2"/>
      <c r="D103" s="47" t="s">
        <v>192</v>
      </c>
      <c r="E103" s="16" t="s">
        <v>193</v>
      </c>
      <c r="F103" s="17" t="s">
        <v>194</v>
      </c>
      <c r="G103" s="18">
        <f t="shared" si="0"/>
        <v>0</v>
      </c>
      <c r="H103" s="49">
        <f>H104+H120</f>
        <v>0</v>
      </c>
      <c r="I103" s="49">
        <f>I104+I120</f>
        <v>0</v>
      </c>
      <c r="J103" s="49">
        <f>J104+J120</f>
        <v>0</v>
      </c>
      <c r="K103" s="49">
        <f>K104+K120</f>
        <v>0</v>
      </c>
      <c r="L103" s="8"/>
      <c r="M103" s="19"/>
      <c r="P103" s="91">
        <v>750</v>
      </c>
    </row>
    <row r="104" spans="3:16" ht="12.75" x14ac:dyDescent="0.2">
      <c r="C104" s="2"/>
      <c r="D104" s="47" t="s">
        <v>195</v>
      </c>
      <c r="E104" s="20" t="s">
        <v>196</v>
      </c>
      <c r="F104" s="17" t="s">
        <v>197</v>
      </c>
      <c r="G104" s="18">
        <f t="shared" si="0"/>
        <v>0</v>
      </c>
      <c r="H104" s="49">
        <f>H105+H106</f>
        <v>0</v>
      </c>
      <c r="I104" s="49">
        <f>I105+I106</f>
        <v>0</v>
      </c>
      <c r="J104" s="49">
        <f>J105+J106</f>
        <v>0</v>
      </c>
      <c r="K104" s="49">
        <f>K105+K106</f>
        <v>0</v>
      </c>
      <c r="L104" s="8"/>
      <c r="M104" s="19"/>
      <c r="P104" s="91">
        <v>760</v>
      </c>
    </row>
    <row r="105" spans="3:16" ht="12.75" x14ac:dyDescent="0.2">
      <c r="C105" s="2"/>
      <c r="D105" s="47" t="s">
        <v>198</v>
      </c>
      <c r="E105" s="42" t="s">
        <v>199</v>
      </c>
      <c r="F105" s="17" t="s">
        <v>200</v>
      </c>
      <c r="G105" s="18">
        <f t="shared" si="0"/>
        <v>0</v>
      </c>
      <c r="H105" s="48"/>
      <c r="I105" s="48"/>
      <c r="J105" s="48"/>
      <c r="K105" s="48"/>
      <c r="L105" s="8"/>
      <c r="M105" s="19"/>
      <c r="P105" s="91"/>
    </row>
    <row r="106" spans="3:16" ht="12.75" x14ac:dyDescent="0.2">
      <c r="C106" s="2"/>
      <c r="D106" s="47" t="s">
        <v>201</v>
      </c>
      <c r="E106" s="42" t="s">
        <v>202</v>
      </c>
      <c r="F106" s="17" t="s">
        <v>203</v>
      </c>
      <c r="G106" s="18">
        <f t="shared" si="0"/>
        <v>0</v>
      </c>
      <c r="H106" s="49">
        <f>H107+H110+H113+H116+H117+H118+H119</f>
        <v>0</v>
      </c>
      <c r="I106" s="49">
        <f>I107+I110+I113+I116+I117+I118+I119</f>
        <v>0</v>
      </c>
      <c r="J106" s="49">
        <f>J107+J110+J113+J116+J117+J118+J119</f>
        <v>0</v>
      </c>
      <c r="K106" s="49">
        <f>K107+K110+K113+K116+K117+K118+K119</f>
        <v>0</v>
      </c>
      <c r="L106" s="8"/>
      <c r="M106" s="19"/>
      <c r="P106" s="91"/>
    </row>
    <row r="107" spans="3:16" ht="45" x14ac:dyDescent="0.2">
      <c r="C107" s="2"/>
      <c r="D107" s="47" t="s">
        <v>204</v>
      </c>
      <c r="E107" s="43" t="s">
        <v>205</v>
      </c>
      <c r="F107" s="17" t="s">
        <v>206</v>
      </c>
      <c r="G107" s="18">
        <f t="shared" si="0"/>
        <v>0</v>
      </c>
      <c r="H107" s="50">
        <f>H108+H109</f>
        <v>0</v>
      </c>
      <c r="I107" s="50">
        <f>I108+I109</f>
        <v>0</v>
      </c>
      <c r="J107" s="50">
        <f>J108+J109</f>
        <v>0</v>
      </c>
      <c r="K107" s="50">
        <f>K108+K109</f>
        <v>0</v>
      </c>
      <c r="L107" s="8"/>
      <c r="M107" s="19"/>
      <c r="P107" s="91"/>
    </row>
    <row r="108" spans="3:16" ht="12.75" x14ac:dyDescent="0.2">
      <c r="C108" s="2"/>
      <c r="D108" s="47" t="s">
        <v>207</v>
      </c>
      <c r="E108" s="51" t="s">
        <v>208</v>
      </c>
      <c r="F108" s="17" t="s">
        <v>209</v>
      </c>
      <c r="G108" s="18">
        <f t="shared" si="0"/>
        <v>0</v>
      </c>
      <c r="H108" s="48"/>
      <c r="I108" s="48"/>
      <c r="J108" s="48"/>
      <c r="K108" s="48"/>
      <c r="L108" s="8"/>
      <c r="M108" s="19"/>
      <c r="P108" s="91"/>
    </row>
    <row r="109" spans="3:16" ht="12.75" x14ac:dyDescent="0.2">
      <c r="C109" s="2"/>
      <c r="D109" s="47" t="s">
        <v>210</v>
      </c>
      <c r="E109" s="51" t="s">
        <v>211</v>
      </c>
      <c r="F109" s="17" t="s">
        <v>212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45" x14ac:dyDescent="0.2">
      <c r="C110" s="2"/>
      <c r="D110" s="47" t="s">
        <v>213</v>
      </c>
      <c r="E110" s="43" t="s">
        <v>214</v>
      </c>
      <c r="F110" s="17" t="s">
        <v>215</v>
      </c>
      <c r="G110" s="18">
        <f t="shared" si="0"/>
        <v>0</v>
      </c>
      <c r="H110" s="50">
        <f>H111+H112</f>
        <v>0</v>
      </c>
      <c r="I110" s="50">
        <f>I111+I112</f>
        <v>0</v>
      </c>
      <c r="J110" s="50">
        <f>J111+J112</f>
        <v>0</v>
      </c>
      <c r="K110" s="50">
        <f>K111+K112</f>
        <v>0</v>
      </c>
      <c r="L110" s="8"/>
      <c r="M110" s="19"/>
      <c r="P110" s="91"/>
    </row>
    <row r="111" spans="3:16" ht="12.75" x14ac:dyDescent="0.2">
      <c r="C111" s="2"/>
      <c r="D111" s="47" t="s">
        <v>216</v>
      </c>
      <c r="E111" s="51" t="s">
        <v>208</v>
      </c>
      <c r="F111" s="17" t="s">
        <v>217</v>
      </c>
      <c r="G111" s="18">
        <f t="shared" si="0"/>
        <v>0</v>
      </c>
      <c r="H111" s="48"/>
      <c r="I111" s="48"/>
      <c r="J111" s="48"/>
      <c r="K111" s="48"/>
      <c r="L111" s="8"/>
      <c r="M111" s="19"/>
      <c r="P111" s="91"/>
    </row>
    <row r="112" spans="3:16" ht="12.75" x14ac:dyDescent="0.2">
      <c r="C112" s="2"/>
      <c r="D112" s="47" t="s">
        <v>218</v>
      </c>
      <c r="E112" s="51" t="s">
        <v>211</v>
      </c>
      <c r="F112" s="17" t="s">
        <v>219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22.5" x14ac:dyDescent="0.2">
      <c r="C113" s="2"/>
      <c r="D113" s="47" t="s">
        <v>220</v>
      </c>
      <c r="E113" s="43" t="s">
        <v>221</v>
      </c>
      <c r="F113" s="17" t="s">
        <v>222</v>
      </c>
      <c r="G113" s="18">
        <f t="shared" si="0"/>
        <v>0</v>
      </c>
      <c r="H113" s="50">
        <f>H114+H115</f>
        <v>0</v>
      </c>
      <c r="I113" s="50">
        <f>I114+I115</f>
        <v>0</v>
      </c>
      <c r="J113" s="50">
        <f>J114+J115</f>
        <v>0</v>
      </c>
      <c r="K113" s="50">
        <f>K114+K115</f>
        <v>0</v>
      </c>
      <c r="L113" s="8"/>
      <c r="M113" s="19"/>
      <c r="P113" s="91"/>
    </row>
    <row r="114" spans="3:16" ht="12.75" x14ac:dyDescent="0.2">
      <c r="C114" s="2"/>
      <c r="D114" s="47" t="s">
        <v>223</v>
      </c>
      <c r="E114" s="51" t="s">
        <v>208</v>
      </c>
      <c r="F114" s="17" t="s">
        <v>224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225</v>
      </c>
      <c r="E115" s="51" t="s">
        <v>211</v>
      </c>
      <c r="F115" s="17" t="s">
        <v>226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22.5" x14ac:dyDescent="0.2">
      <c r="C116" s="2"/>
      <c r="D116" s="47" t="s">
        <v>227</v>
      </c>
      <c r="E116" s="43" t="s">
        <v>228</v>
      </c>
      <c r="F116" s="17" t="s">
        <v>229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12.75" x14ac:dyDescent="0.2">
      <c r="C117" s="2"/>
      <c r="D117" s="47" t="s">
        <v>230</v>
      </c>
      <c r="E117" s="43" t="s">
        <v>231</v>
      </c>
      <c r="F117" s="17" t="s">
        <v>232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45" x14ac:dyDescent="0.2">
      <c r="C118" s="2"/>
      <c r="D118" s="47" t="s">
        <v>233</v>
      </c>
      <c r="E118" s="43" t="s">
        <v>234</v>
      </c>
      <c r="F118" s="17" t="s">
        <v>235</v>
      </c>
      <c r="G118" s="18">
        <f t="shared" si="0"/>
        <v>0</v>
      </c>
      <c r="H118" s="48"/>
      <c r="I118" s="48"/>
      <c r="J118" s="48"/>
      <c r="K118" s="48"/>
      <c r="L118" s="8"/>
      <c r="M118" s="19"/>
      <c r="P118" s="91"/>
    </row>
    <row r="119" spans="3:16" ht="22.5" x14ac:dyDescent="0.2">
      <c r="C119" s="2"/>
      <c r="D119" s="47" t="s">
        <v>236</v>
      </c>
      <c r="E119" s="43" t="s">
        <v>237</v>
      </c>
      <c r="F119" s="17" t="s">
        <v>238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/>
    </row>
    <row r="120" spans="3:16" ht="12.75" x14ac:dyDescent="0.2">
      <c r="C120" s="2"/>
      <c r="D120" s="47" t="s">
        <v>239</v>
      </c>
      <c r="E120" s="20" t="s">
        <v>240</v>
      </c>
      <c r="F120" s="17" t="s">
        <v>241</v>
      </c>
      <c r="G120" s="18">
        <f t="shared" si="0"/>
        <v>0</v>
      </c>
      <c r="H120" s="49">
        <f>H123</f>
        <v>0</v>
      </c>
      <c r="I120" s="49">
        <f>I123</f>
        <v>0</v>
      </c>
      <c r="J120" s="49">
        <f>J123</f>
        <v>0</v>
      </c>
      <c r="K120" s="49">
        <f>K123</f>
        <v>0</v>
      </c>
      <c r="L120" s="8"/>
      <c r="M120" s="19"/>
      <c r="P120" s="91">
        <v>770</v>
      </c>
    </row>
    <row r="121" spans="3:16" ht="12.75" x14ac:dyDescent="0.2">
      <c r="C121" s="2"/>
      <c r="D121" s="47" t="s">
        <v>242</v>
      </c>
      <c r="E121" s="42" t="s">
        <v>184</v>
      </c>
      <c r="F121" s="17" t="s">
        <v>243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780</v>
      </c>
    </row>
    <row r="122" spans="3:16" ht="12.75" x14ac:dyDescent="0.2">
      <c r="C122" s="2"/>
      <c r="D122" s="47" t="s">
        <v>244</v>
      </c>
      <c r="E122" s="43" t="s">
        <v>245</v>
      </c>
      <c r="F122" s="17" t="s">
        <v>246</v>
      </c>
      <c r="G122" s="18">
        <f t="shared" si="0"/>
        <v>0</v>
      </c>
      <c r="H122" s="48"/>
      <c r="I122" s="48"/>
      <c r="J122" s="48"/>
      <c r="K122" s="48"/>
      <c r="L122" s="8"/>
      <c r="M122" s="19"/>
      <c r="P122" s="91"/>
    </row>
    <row r="123" spans="3:16" ht="12.75" x14ac:dyDescent="0.2">
      <c r="C123" s="2"/>
      <c r="D123" s="47" t="s">
        <v>247</v>
      </c>
      <c r="E123" s="42" t="s">
        <v>190</v>
      </c>
      <c r="F123" s="17" t="s">
        <v>248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>
        <v>790</v>
      </c>
    </row>
    <row r="124" spans="3:16" ht="22.5" x14ac:dyDescent="0.2">
      <c r="C124" s="2"/>
      <c r="D124" s="47" t="s">
        <v>249</v>
      </c>
      <c r="E124" s="40" t="s">
        <v>250</v>
      </c>
      <c r="F124" s="17" t="s">
        <v>251</v>
      </c>
      <c r="G124" s="18">
        <f t="shared" si="0"/>
        <v>6725.6160000000009</v>
      </c>
      <c r="H124" s="49">
        <f>SUM(H125:H126)</f>
        <v>4.7149999999999999</v>
      </c>
      <c r="I124" s="49">
        <f>SUM(I125:I126)</f>
        <v>4382.59</v>
      </c>
      <c r="J124" s="49">
        <f>SUM(J125:J126)</f>
        <v>1429.3320000000001</v>
      </c>
      <c r="K124" s="49">
        <f>SUM(K125:K126)</f>
        <v>908.97900000000004</v>
      </c>
      <c r="L124" s="8"/>
      <c r="M124" s="19"/>
      <c r="P124" s="91"/>
    </row>
    <row r="125" spans="3:16" ht="12.75" x14ac:dyDescent="0.2">
      <c r="C125" s="2"/>
      <c r="D125" s="47" t="s">
        <v>252</v>
      </c>
      <c r="E125" s="20" t="s">
        <v>178</v>
      </c>
      <c r="F125" s="17" t="s">
        <v>253</v>
      </c>
      <c r="G125" s="18">
        <f t="shared" si="0"/>
        <v>0</v>
      </c>
      <c r="H125" s="48"/>
      <c r="I125" s="48"/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254</v>
      </c>
      <c r="E126" s="20" t="s">
        <v>181</v>
      </c>
      <c r="F126" s="17" t="s">
        <v>255</v>
      </c>
      <c r="G126" s="18">
        <f t="shared" si="0"/>
        <v>6725.6160000000009</v>
      </c>
      <c r="H126" s="49">
        <f>H128</f>
        <v>4.7149999999999999</v>
      </c>
      <c r="I126" s="49">
        <f>I128</f>
        <v>4382.59</v>
      </c>
      <c r="J126" s="49">
        <f>J128</f>
        <v>1429.3320000000001</v>
      </c>
      <c r="K126" s="49">
        <f>K128</f>
        <v>908.97900000000004</v>
      </c>
      <c r="L126" s="8"/>
      <c r="M126" s="19"/>
      <c r="P126" s="91"/>
    </row>
    <row r="127" spans="3:16" ht="12.75" x14ac:dyDescent="0.2">
      <c r="C127" s="2"/>
      <c r="D127" s="47" t="s">
        <v>256</v>
      </c>
      <c r="E127" s="42" t="s">
        <v>257</v>
      </c>
      <c r="F127" s="17" t="s">
        <v>258</v>
      </c>
      <c r="G127" s="18">
        <f t="shared" si="0"/>
        <v>25.006</v>
      </c>
      <c r="H127" s="48"/>
      <c r="I127" s="48">
        <f>I94</f>
        <v>25.006</v>
      </c>
      <c r="J127" s="48"/>
      <c r="K127" s="48"/>
      <c r="L127" s="8"/>
      <c r="M127" s="19"/>
      <c r="P127" s="91"/>
    </row>
    <row r="128" spans="3:16" ht="12.75" x14ac:dyDescent="0.2">
      <c r="C128" s="2"/>
      <c r="D128" s="47" t="s">
        <v>259</v>
      </c>
      <c r="E128" s="42" t="s">
        <v>190</v>
      </c>
      <c r="F128" s="17" t="s">
        <v>260</v>
      </c>
      <c r="G128" s="18">
        <f t="shared" si="0"/>
        <v>6725.6160000000009</v>
      </c>
      <c r="H128" s="48">
        <f>H48</f>
        <v>4.7149999999999999</v>
      </c>
      <c r="I128" s="48">
        <v>4382.59</v>
      </c>
      <c r="J128" s="48">
        <v>1429.3320000000001</v>
      </c>
      <c r="K128" s="48">
        <f>K34</f>
        <v>908.97900000000004</v>
      </c>
      <c r="L128" s="8"/>
      <c r="M128" s="19"/>
      <c r="P128" s="91"/>
    </row>
    <row r="129" spans="3:16" ht="12.75" x14ac:dyDescent="0.2">
      <c r="C129" s="2"/>
      <c r="D129" s="111" t="s">
        <v>261</v>
      </c>
      <c r="E129" s="112"/>
      <c r="F129" s="112"/>
      <c r="G129" s="112"/>
      <c r="H129" s="112"/>
      <c r="I129" s="112"/>
      <c r="J129" s="112"/>
      <c r="K129" s="113"/>
      <c r="L129" s="8"/>
      <c r="M129" s="19"/>
      <c r="P129" s="93"/>
    </row>
    <row r="130" spans="3:16" ht="22.5" x14ac:dyDescent="0.2">
      <c r="C130" s="2"/>
      <c r="D130" s="47" t="s">
        <v>262</v>
      </c>
      <c r="E130" s="16" t="s">
        <v>263</v>
      </c>
      <c r="F130" s="17" t="s">
        <v>264</v>
      </c>
      <c r="G130" s="18">
        <f t="shared" si="0"/>
        <v>0</v>
      </c>
      <c r="H130" s="49">
        <f>SUM( H131:H132)</f>
        <v>0</v>
      </c>
      <c r="I130" s="49">
        <f>SUM( I131:I132)</f>
        <v>0</v>
      </c>
      <c r="J130" s="49">
        <f>SUM( J131:J132)</f>
        <v>0</v>
      </c>
      <c r="K130" s="49">
        <f>SUM( K131:K132)</f>
        <v>0</v>
      </c>
      <c r="L130" s="8"/>
      <c r="M130" s="19"/>
      <c r="P130" s="91">
        <v>800</v>
      </c>
    </row>
    <row r="131" spans="3:16" ht="12.75" x14ac:dyDescent="0.2">
      <c r="C131" s="2"/>
      <c r="D131" s="47" t="s">
        <v>265</v>
      </c>
      <c r="E131" s="20" t="s">
        <v>178</v>
      </c>
      <c r="F131" s="17" t="s">
        <v>266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810</v>
      </c>
    </row>
    <row r="132" spans="3:16" ht="12.75" x14ac:dyDescent="0.2">
      <c r="C132" s="2"/>
      <c r="D132" s="47" t="s">
        <v>267</v>
      </c>
      <c r="E132" s="20" t="s">
        <v>181</v>
      </c>
      <c r="F132" s="17" t="s">
        <v>268</v>
      </c>
      <c r="G132" s="18">
        <f t="shared" si="0"/>
        <v>0</v>
      </c>
      <c r="H132" s="49">
        <f>H133+H135</f>
        <v>0</v>
      </c>
      <c r="I132" s="49">
        <f>I133+I135</f>
        <v>0</v>
      </c>
      <c r="J132" s="49">
        <f>J133+J135</f>
        <v>0</v>
      </c>
      <c r="K132" s="49">
        <f>K133+K135</f>
        <v>0</v>
      </c>
      <c r="L132" s="8"/>
      <c r="M132" s="19"/>
      <c r="P132" s="91">
        <v>820</v>
      </c>
    </row>
    <row r="133" spans="3:16" ht="12.75" x14ac:dyDescent="0.2">
      <c r="C133" s="2"/>
      <c r="D133" s="47" t="s">
        <v>269</v>
      </c>
      <c r="E133" s="42" t="s">
        <v>270</v>
      </c>
      <c r="F133" s="17" t="s">
        <v>271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830</v>
      </c>
    </row>
    <row r="134" spans="3:16" ht="12.75" x14ac:dyDescent="0.2">
      <c r="C134" s="2"/>
      <c r="D134" s="47" t="s">
        <v>272</v>
      </c>
      <c r="E134" s="43" t="s">
        <v>273</v>
      </c>
      <c r="F134" s="17" t="s">
        <v>274</v>
      </c>
      <c r="G134" s="18">
        <f t="shared" si="0"/>
        <v>0</v>
      </c>
      <c r="H134" s="48"/>
      <c r="I134" s="48"/>
      <c r="J134" s="48"/>
      <c r="K134" s="48"/>
      <c r="L134" s="8"/>
      <c r="M134" s="19"/>
      <c r="P134" s="93"/>
    </row>
    <row r="135" spans="3:16" ht="12.75" x14ac:dyDescent="0.2">
      <c r="C135" s="2"/>
      <c r="D135" s="47" t="s">
        <v>275</v>
      </c>
      <c r="E135" s="42" t="s">
        <v>276</v>
      </c>
      <c r="F135" s="17" t="s">
        <v>277</v>
      </c>
      <c r="G135" s="18">
        <f t="shared" si="0"/>
        <v>0</v>
      </c>
      <c r="H135" s="48"/>
      <c r="I135" s="48"/>
      <c r="J135" s="48"/>
      <c r="K135" s="48"/>
      <c r="L135" s="8"/>
      <c r="M135" s="19"/>
      <c r="P135" s="91">
        <v>840</v>
      </c>
    </row>
    <row r="136" spans="3:16" ht="12.75" x14ac:dyDescent="0.2">
      <c r="C136" s="2"/>
      <c r="D136" s="47" t="s">
        <v>19</v>
      </c>
      <c r="E136" s="16" t="s">
        <v>278</v>
      </c>
      <c r="F136" s="17" t="s">
        <v>279</v>
      </c>
      <c r="G136" s="18">
        <f t="shared" si="0"/>
        <v>0</v>
      </c>
      <c r="H136" s="50">
        <f>SUM( H137+H142)</f>
        <v>0</v>
      </c>
      <c r="I136" s="50">
        <f>SUM( I137+I142)</f>
        <v>0</v>
      </c>
      <c r="J136" s="50">
        <f>SUM( J137+J142)</f>
        <v>0</v>
      </c>
      <c r="K136" s="50">
        <f>SUM( K137+K142)</f>
        <v>0</v>
      </c>
      <c r="L136" s="52"/>
      <c r="M136" s="19"/>
      <c r="P136" s="91">
        <v>850</v>
      </c>
    </row>
    <row r="137" spans="3:16" ht="12.75" x14ac:dyDescent="0.2">
      <c r="C137" s="2"/>
      <c r="D137" s="47" t="s">
        <v>280</v>
      </c>
      <c r="E137" s="20" t="s">
        <v>178</v>
      </c>
      <c r="F137" s="17" t="s">
        <v>281</v>
      </c>
      <c r="G137" s="18">
        <f t="shared" ref="G137:G150" si="1">SUM(H137:K137)</f>
        <v>0</v>
      </c>
      <c r="H137" s="50">
        <f>SUM( H138:H139)</f>
        <v>0</v>
      </c>
      <c r="I137" s="50">
        <f>SUM( I138:I139)</f>
        <v>0</v>
      </c>
      <c r="J137" s="50">
        <f>SUM( J138:J139)</f>
        <v>0</v>
      </c>
      <c r="K137" s="50">
        <f>SUM( K138:K139)</f>
        <v>0</v>
      </c>
      <c r="L137" s="52"/>
      <c r="M137" s="19"/>
      <c r="P137" s="91">
        <v>860</v>
      </c>
    </row>
    <row r="138" spans="3:16" ht="12.75" x14ac:dyDescent="0.2">
      <c r="C138" s="2"/>
      <c r="D138" s="47" t="s">
        <v>282</v>
      </c>
      <c r="E138" s="42" t="s">
        <v>199</v>
      </c>
      <c r="F138" s="17" t="s">
        <v>283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284</v>
      </c>
      <c r="E139" s="42" t="s">
        <v>202</v>
      </c>
      <c r="F139" s="17" t="s">
        <v>285</v>
      </c>
      <c r="G139" s="18">
        <f t="shared" si="1"/>
        <v>0</v>
      </c>
      <c r="H139" s="50">
        <f>H140+H141</f>
        <v>0</v>
      </c>
      <c r="I139" s="50">
        <f>I140+I141</f>
        <v>0</v>
      </c>
      <c r="J139" s="50">
        <f>J140+J141</f>
        <v>0</v>
      </c>
      <c r="K139" s="50">
        <f>K140+K141</f>
        <v>0</v>
      </c>
      <c r="L139" s="52"/>
      <c r="M139" s="19"/>
      <c r="P139" s="91"/>
    </row>
    <row r="140" spans="3:16" ht="12.75" x14ac:dyDescent="0.2">
      <c r="C140" s="2"/>
      <c r="D140" s="47" t="s">
        <v>286</v>
      </c>
      <c r="E140" s="43" t="s">
        <v>208</v>
      </c>
      <c r="F140" s="17" t="s">
        <v>287</v>
      </c>
      <c r="G140" s="18">
        <f t="shared" si="1"/>
        <v>0</v>
      </c>
      <c r="H140" s="53"/>
      <c r="I140" s="53"/>
      <c r="J140" s="53"/>
      <c r="K140" s="53"/>
      <c r="L140" s="52"/>
      <c r="M140" s="19"/>
      <c r="P140" s="91"/>
    </row>
    <row r="141" spans="3:16" ht="12.75" x14ac:dyDescent="0.2">
      <c r="C141" s="2"/>
      <c r="D141" s="47" t="s">
        <v>288</v>
      </c>
      <c r="E141" s="43" t="s">
        <v>289</v>
      </c>
      <c r="F141" s="17" t="s">
        <v>290</v>
      </c>
      <c r="G141" s="18">
        <f t="shared" si="1"/>
        <v>0</v>
      </c>
      <c r="H141" s="53"/>
      <c r="I141" s="53"/>
      <c r="J141" s="53"/>
      <c r="K141" s="53"/>
      <c r="L141" s="52"/>
      <c r="M141" s="19"/>
      <c r="P141" s="91"/>
    </row>
    <row r="142" spans="3:16" ht="12.75" x14ac:dyDescent="0.2">
      <c r="C142" s="2"/>
      <c r="D142" s="47" t="s">
        <v>291</v>
      </c>
      <c r="E142" s="20" t="s">
        <v>240</v>
      </c>
      <c r="F142" s="17" t="s">
        <v>292</v>
      </c>
      <c r="G142" s="18">
        <f t="shared" si="1"/>
        <v>0</v>
      </c>
      <c r="H142" s="50">
        <f>H143+H145</f>
        <v>0</v>
      </c>
      <c r="I142" s="50">
        <f>I143+I145</f>
        <v>0</v>
      </c>
      <c r="J142" s="50">
        <f>J143+J145</f>
        <v>0</v>
      </c>
      <c r="K142" s="50">
        <f>K143+K145</f>
        <v>0</v>
      </c>
      <c r="L142" s="52"/>
      <c r="M142" s="19"/>
      <c r="P142" s="91">
        <v>870</v>
      </c>
    </row>
    <row r="143" spans="3:16" ht="12.75" x14ac:dyDescent="0.2">
      <c r="C143" s="2"/>
      <c r="D143" s="47" t="s">
        <v>293</v>
      </c>
      <c r="E143" s="42" t="s">
        <v>270</v>
      </c>
      <c r="F143" s="17" t="s">
        <v>294</v>
      </c>
      <c r="G143" s="18">
        <f t="shared" si="1"/>
        <v>0</v>
      </c>
      <c r="H143" s="48"/>
      <c r="I143" s="48"/>
      <c r="J143" s="48"/>
      <c r="K143" s="48"/>
      <c r="L143" s="52"/>
      <c r="M143" s="19"/>
      <c r="P143" s="91">
        <v>880</v>
      </c>
    </row>
    <row r="144" spans="3:16" ht="12.75" x14ac:dyDescent="0.2">
      <c r="C144" s="2"/>
      <c r="D144" s="47" t="s">
        <v>295</v>
      </c>
      <c r="E144" s="43" t="s">
        <v>273</v>
      </c>
      <c r="F144" s="17" t="s">
        <v>296</v>
      </c>
      <c r="G144" s="18">
        <f t="shared" si="1"/>
        <v>0</v>
      </c>
      <c r="H144" s="48"/>
      <c r="I144" s="48"/>
      <c r="J144" s="48"/>
      <c r="K144" s="48"/>
      <c r="L144" s="52"/>
      <c r="M144" s="19"/>
      <c r="P144" s="91"/>
    </row>
    <row r="145" spans="3:19" ht="12.75" x14ac:dyDescent="0.2">
      <c r="C145" s="2"/>
      <c r="D145" s="47" t="s">
        <v>297</v>
      </c>
      <c r="E145" s="42" t="s">
        <v>276</v>
      </c>
      <c r="F145" s="17" t="s">
        <v>298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>
        <v>890</v>
      </c>
    </row>
    <row r="146" spans="3:19" ht="22.5" x14ac:dyDescent="0.2">
      <c r="C146" s="2"/>
      <c r="D146" s="47" t="s">
        <v>299</v>
      </c>
      <c r="E146" s="16" t="s">
        <v>300</v>
      </c>
      <c r="F146" s="17" t="s">
        <v>301</v>
      </c>
      <c r="G146" s="18">
        <f t="shared" si="1"/>
        <v>3708.2226187919996</v>
      </c>
      <c r="H146" s="55">
        <f>SUM( H147:H148)</f>
        <v>0.5029962</v>
      </c>
      <c r="I146" s="55">
        <f>SUM( I147:I148)</f>
        <v>3458.2686051119999</v>
      </c>
      <c r="J146" s="55">
        <f>SUM( J147:J148)</f>
        <v>152.48113776000002</v>
      </c>
      <c r="K146" s="55">
        <f>SUM( K147:K148)</f>
        <v>96.969879720000009</v>
      </c>
      <c r="L146" s="52"/>
      <c r="M146" s="19"/>
      <c r="P146" s="91">
        <v>900</v>
      </c>
    </row>
    <row r="147" spans="3:19" ht="12.75" x14ac:dyDescent="0.2">
      <c r="C147" s="2"/>
      <c r="D147" s="47" t="s">
        <v>302</v>
      </c>
      <c r="E147" s="20" t="s">
        <v>178</v>
      </c>
      <c r="F147" s="17" t="s">
        <v>303</v>
      </c>
      <c r="G147" s="18">
        <f t="shared" si="1"/>
        <v>0</v>
      </c>
      <c r="H147" s="54"/>
      <c r="I147" s="54"/>
      <c r="J147" s="54"/>
      <c r="K147" s="54"/>
      <c r="L147" s="52"/>
      <c r="M147" s="19"/>
      <c r="P147" s="91"/>
    </row>
    <row r="148" spans="3:19" ht="12.75" x14ac:dyDescent="0.2">
      <c r="C148" s="2"/>
      <c r="D148" s="47" t="s">
        <v>304</v>
      </c>
      <c r="E148" s="20" t="s">
        <v>181</v>
      </c>
      <c r="F148" s="17" t="s">
        <v>305</v>
      </c>
      <c r="G148" s="18">
        <f t="shared" si="1"/>
        <v>3708.2226187919996</v>
      </c>
      <c r="H148" s="55">
        <f>H149+H150</f>
        <v>0.5029962</v>
      </c>
      <c r="I148" s="55">
        <f>I149+I150</f>
        <v>3458.2686051119999</v>
      </c>
      <c r="J148" s="55">
        <f>J149+J150</f>
        <v>152.48113776000002</v>
      </c>
      <c r="K148" s="55">
        <f>K149+K150</f>
        <v>96.969879720000009</v>
      </c>
      <c r="L148" s="52"/>
      <c r="M148" s="19"/>
      <c r="P148" s="91"/>
    </row>
    <row r="149" spans="3:19" ht="12.75" x14ac:dyDescent="0.2">
      <c r="C149" s="2"/>
      <c r="D149" s="47" t="s">
        <v>306</v>
      </c>
      <c r="E149" s="42" t="s">
        <v>307</v>
      </c>
      <c r="F149" s="17" t="s">
        <v>308</v>
      </c>
      <c r="G149" s="18">
        <f t="shared" si="1"/>
        <v>2990.7339039119997</v>
      </c>
      <c r="H149" s="54"/>
      <c r="I149" s="54">
        <f>I127*99667.21/1000*1.2</f>
        <v>2990.7339039119997</v>
      </c>
      <c r="J149" s="54"/>
      <c r="K149" s="54"/>
      <c r="L149" s="52"/>
      <c r="M149" s="19"/>
      <c r="P149" s="91" t="s">
        <v>338</v>
      </c>
    </row>
    <row r="150" spans="3:19" ht="12.75" x14ac:dyDescent="0.2">
      <c r="C150" s="2"/>
      <c r="D150" s="47" t="s">
        <v>309</v>
      </c>
      <c r="E150" s="42" t="s">
        <v>276</v>
      </c>
      <c r="F150" s="17" t="s">
        <v>310</v>
      </c>
      <c r="G150" s="18">
        <f t="shared" si="1"/>
        <v>717.48871488000009</v>
      </c>
      <c r="H150" s="54">
        <f>H128*88.9/1000*1.2</f>
        <v>0.5029962</v>
      </c>
      <c r="I150" s="54">
        <f>I128*88.9/1000*1.2</f>
        <v>467.53470120000009</v>
      </c>
      <c r="J150" s="54">
        <f>J128*88.9/1000*1.2</f>
        <v>152.48113776000002</v>
      </c>
      <c r="K150" s="54">
        <f>K128*88.9/1000*1.2</f>
        <v>96.969879720000009</v>
      </c>
      <c r="L150" s="52"/>
      <c r="M150" s="19"/>
      <c r="P150" s="91" t="s">
        <v>339</v>
      </c>
    </row>
    <row r="151" spans="3:19" x14ac:dyDescent="0.25">
      <c r="D151" s="6"/>
      <c r="E151" s="56"/>
      <c r="F151" s="56"/>
      <c r="G151" s="56"/>
      <c r="H151" s="56"/>
      <c r="I151" s="56"/>
      <c r="J151" s="56"/>
      <c r="K151" s="57"/>
      <c r="L151" s="57"/>
      <c r="M151" s="57"/>
      <c r="N151" s="57"/>
      <c r="O151" s="57"/>
      <c r="P151" s="57"/>
      <c r="Q151" s="57"/>
      <c r="R151" s="94"/>
      <c r="S151" s="94"/>
    </row>
    <row r="152" spans="3:19" ht="12.75" x14ac:dyDescent="0.2">
      <c r="E152" s="19" t="s">
        <v>311</v>
      </c>
      <c r="F152" s="103" t="str">
        <f>IF([4]Титульный!G45="","",[4]Титульный!G45)</f>
        <v>экономист</v>
      </c>
      <c r="G152" s="103"/>
      <c r="H152" s="58"/>
      <c r="I152" s="103" t="str">
        <f>IF([4]Титульный!G44="","",[4]Титульный!G44)</f>
        <v>Кривнева Е. В.</v>
      </c>
      <c r="J152" s="103"/>
      <c r="K152" s="103"/>
      <c r="L152" s="58"/>
      <c r="M152" s="59"/>
      <c r="N152" s="59"/>
      <c r="O152" s="61"/>
      <c r="P152" s="57"/>
      <c r="Q152" s="57"/>
      <c r="R152" s="94"/>
      <c r="S152" s="94"/>
    </row>
    <row r="153" spans="3:19" ht="12.75" x14ac:dyDescent="0.2">
      <c r="E153" s="60" t="s">
        <v>312</v>
      </c>
      <c r="F153" s="102" t="s">
        <v>313</v>
      </c>
      <c r="G153" s="102"/>
      <c r="H153" s="61"/>
      <c r="I153" s="102" t="s">
        <v>314</v>
      </c>
      <c r="J153" s="102"/>
      <c r="K153" s="102"/>
      <c r="L153" s="61"/>
      <c r="M153" s="102" t="s">
        <v>315</v>
      </c>
      <c r="N153" s="102"/>
      <c r="O153" s="19"/>
      <c r="P153" s="57"/>
      <c r="Q153" s="57"/>
      <c r="R153" s="94"/>
      <c r="S153" s="94"/>
    </row>
    <row r="154" spans="3:19" ht="12.75" x14ac:dyDescent="0.2">
      <c r="E154" s="60" t="s">
        <v>316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57"/>
      <c r="Q154" s="57"/>
      <c r="R154" s="94"/>
      <c r="S154" s="94"/>
    </row>
    <row r="155" spans="3:19" ht="12.75" x14ac:dyDescent="0.2">
      <c r="E155" s="60" t="s">
        <v>317</v>
      </c>
      <c r="F155" s="103" t="str">
        <f>IF([4]Титульный!G46="","",[4]Титульный!G46)</f>
        <v>(861) 258-50-71</v>
      </c>
      <c r="G155" s="103"/>
      <c r="H155" s="103"/>
      <c r="I155" s="19"/>
      <c r="J155" s="60" t="s">
        <v>318</v>
      </c>
      <c r="K155" s="62"/>
      <c r="L155" s="19"/>
      <c r="M155" s="19"/>
      <c r="N155" s="19"/>
      <c r="O155" s="19"/>
      <c r="P155" s="57"/>
      <c r="Q155" s="57"/>
      <c r="R155" s="94"/>
      <c r="S155" s="94"/>
    </row>
    <row r="156" spans="3:19" ht="12.75" x14ac:dyDescent="0.2">
      <c r="E156" s="19" t="s">
        <v>319</v>
      </c>
      <c r="F156" s="104" t="s">
        <v>320</v>
      </c>
      <c r="G156" s="104"/>
      <c r="H156" s="104"/>
      <c r="I156" s="19"/>
      <c r="J156" s="63" t="s">
        <v>321</v>
      </c>
      <c r="K156" s="63"/>
      <c r="L156" s="19"/>
      <c r="M156" s="19"/>
      <c r="N156" s="19"/>
      <c r="O156" s="19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94"/>
      <c r="S180" s="94"/>
    </row>
    <row r="181" spans="5:19" x14ac:dyDescent="0.25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5:19" x14ac:dyDescent="0.25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5:19" x14ac:dyDescent="0.25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65 E81 E19 E58"/>
    <dataValidation type="decimal" allowBlank="1" showErrorMessage="1" errorTitle="Ошибка" error="Допускается ввод только действительных чисел!" sqref="G24:K26 G93:K95 G67:K81 G15:K19 G83:K91 G97:K128 G63:K65 G44:K52 G28:K42 G130:K150 G60:K61 G21:K22 G54:K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124" workbookViewId="0">
      <selection activeCell="K151" sqref="K151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9" t="s">
        <v>7</v>
      </c>
      <c r="I12" s="9" t="s">
        <v>8</v>
      </c>
      <c r="J12" s="9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6173.1440000000002</v>
      </c>
      <c r="H15" s="18">
        <f>H16+H17+H21+H24</f>
        <v>868.65800000000002</v>
      </c>
      <c r="I15" s="18">
        <f>I16+I17+I21+I24</f>
        <v>5037.8609999999999</v>
      </c>
      <c r="J15" s="18">
        <f>J16+J17+J21+J24</f>
        <v>266.625</v>
      </c>
      <c r="K15" s="18">
        <f>K16+K17+K21+K24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6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0.13500000000000001</v>
      </c>
      <c r="H17" s="18">
        <f>SUM(H18:H20)</f>
        <v>0</v>
      </c>
      <c r="I17" s="18">
        <f>SUM(I18:I20)</f>
        <v>0</v>
      </c>
      <c r="J17" s="18">
        <f>SUM(J18:J20)</f>
        <v>0.13500000000000001</v>
      </c>
      <c r="K17" s="18">
        <f>SUM(K18:K20)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5" x14ac:dyDescent="0.25">
      <c r="C19" s="30" t="s">
        <v>29</v>
      </c>
      <c r="D19" s="31" t="s">
        <v>340</v>
      </c>
      <c r="E19" s="32" t="s">
        <v>341</v>
      </c>
      <c r="F19" s="33">
        <v>31</v>
      </c>
      <c r="G19" s="34">
        <f>SUM(H19:K19)</f>
        <v>0.13500000000000001</v>
      </c>
      <c r="H19" s="35"/>
      <c r="I19" s="35"/>
      <c r="J19" s="35">
        <v>0.13500000000000001</v>
      </c>
      <c r="K19" s="36"/>
      <c r="L19" s="13"/>
      <c r="M19" s="37" t="s">
        <v>342</v>
      </c>
      <c r="N19" s="38" t="s">
        <v>343</v>
      </c>
      <c r="O19" s="38" t="s">
        <v>344</v>
      </c>
    </row>
    <row r="20" spans="3:16" s="14" customFormat="1" ht="12.75" x14ac:dyDescent="0.2">
      <c r="C20" s="12"/>
      <c r="D20" s="26"/>
      <c r="E20" s="27" t="s">
        <v>20</v>
      </c>
      <c r="F20" s="28"/>
      <c r="G20" s="28"/>
      <c r="H20" s="28"/>
      <c r="I20" s="28"/>
      <c r="J20" s="28"/>
      <c r="K20" s="29"/>
      <c r="L20" s="13"/>
      <c r="M20" s="19"/>
      <c r="P20" s="92"/>
    </row>
    <row r="21" spans="3:16" s="14" customFormat="1" ht="12.75" x14ac:dyDescent="0.2">
      <c r="C21" s="12"/>
      <c r="D21" s="15" t="s">
        <v>21</v>
      </c>
      <c r="E21" s="20" t="s">
        <v>22</v>
      </c>
      <c r="F21" s="17" t="s">
        <v>23</v>
      </c>
      <c r="G21" s="18">
        <f t="shared" si="0"/>
        <v>0</v>
      </c>
      <c r="H21" s="18">
        <f>SUM(H22:H23)</f>
        <v>0</v>
      </c>
      <c r="I21" s="18">
        <f>SUM(I22:I23)</f>
        <v>0</v>
      </c>
      <c r="J21" s="18">
        <f>SUM(J22:J23)</f>
        <v>0</v>
      </c>
      <c r="K21" s="18">
        <f>SUM(K22:K23)</f>
        <v>0</v>
      </c>
      <c r="L21" s="13"/>
      <c r="M21" s="19"/>
      <c r="P21" s="92"/>
    </row>
    <row r="22" spans="3:16" s="14" customFormat="1" ht="12.75" x14ac:dyDescent="0.2">
      <c r="C22" s="12"/>
      <c r="D22" s="22" t="s">
        <v>24</v>
      </c>
      <c r="E22" s="23"/>
      <c r="F22" s="24" t="s">
        <v>23</v>
      </c>
      <c r="G22" s="25"/>
      <c r="H22" s="25"/>
      <c r="I22" s="25"/>
      <c r="J22" s="25"/>
      <c r="K22" s="25"/>
      <c r="L22" s="13"/>
      <c r="M22" s="19"/>
      <c r="P22" s="91"/>
    </row>
    <row r="23" spans="3:16" s="14" customFormat="1" ht="12.75" x14ac:dyDescent="0.2">
      <c r="C23" s="12"/>
      <c r="D23" s="26"/>
      <c r="E23" s="27" t="s">
        <v>20</v>
      </c>
      <c r="F23" s="28"/>
      <c r="G23" s="28"/>
      <c r="H23" s="28"/>
      <c r="I23" s="28"/>
      <c r="J23" s="28"/>
      <c r="K23" s="29"/>
      <c r="L23" s="13"/>
      <c r="M23" s="19"/>
      <c r="P23" s="92"/>
    </row>
    <row r="24" spans="3:16" s="14" customFormat="1" ht="12.75" x14ac:dyDescent="0.2">
      <c r="C24" s="12"/>
      <c r="D24" s="15" t="s">
        <v>25</v>
      </c>
      <c r="E24" s="20" t="s">
        <v>26</v>
      </c>
      <c r="F24" s="17" t="s">
        <v>27</v>
      </c>
      <c r="G24" s="18">
        <f t="shared" si="0"/>
        <v>6173.009</v>
      </c>
      <c r="H24" s="18">
        <f>SUM(H25:H27)</f>
        <v>868.65800000000002</v>
      </c>
      <c r="I24" s="18">
        <f>SUM(I25:I27)</f>
        <v>5037.8609999999999</v>
      </c>
      <c r="J24" s="18">
        <f>SUM(J25:J27)</f>
        <v>266.49</v>
      </c>
      <c r="K24" s="18">
        <f>SUM(K25:K27)</f>
        <v>0</v>
      </c>
      <c r="L24" s="13"/>
      <c r="M24" s="19"/>
      <c r="P24" s="91">
        <v>40</v>
      </c>
    </row>
    <row r="25" spans="3:16" s="14" customFormat="1" ht="12.75" x14ac:dyDescent="0.2">
      <c r="C25" s="12"/>
      <c r="D25" s="22" t="s">
        <v>28</v>
      </c>
      <c r="E25" s="23"/>
      <c r="F25" s="24" t="s">
        <v>27</v>
      </c>
      <c r="G25" s="25"/>
      <c r="H25" s="25"/>
      <c r="I25" s="25"/>
      <c r="J25" s="25"/>
      <c r="K25" s="25"/>
      <c r="L25" s="13"/>
      <c r="M25" s="19"/>
      <c r="P25" s="91"/>
    </row>
    <row r="26" spans="3:16" s="14" customFormat="1" ht="15" x14ac:dyDescent="0.25">
      <c r="C26" s="30" t="s">
        <v>29</v>
      </c>
      <c r="D26" s="31" t="s">
        <v>30</v>
      </c>
      <c r="E26" s="32" t="s">
        <v>31</v>
      </c>
      <c r="F26" s="33">
        <v>431</v>
      </c>
      <c r="G26" s="34">
        <f>SUM(H26:K26)</f>
        <v>6173.009</v>
      </c>
      <c r="H26" s="35">
        <v>868.65800000000002</v>
      </c>
      <c r="I26" s="35">
        <v>5037.8609999999999</v>
      </c>
      <c r="J26" s="35">
        <v>266.49</v>
      </c>
      <c r="K26" s="36"/>
      <c r="L26" s="13"/>
      <c r="M26" s="37" t="s">
        <v>32</v>
      </c>
      <c r="N26" s="38" t="s">
        <v>33</v>
      </c>
      <c r="O26" s="38" t="s">
        <v>336</v>
      </c>
    </row>
    <row r="27" spans="3:16" s="14" customFormat="1" ht="12.75" x14ac:dyDescent="0.2">
      <c r="C27" s="12"/>
      <c r="D27" s="26"/>
      <c r="E27" s="27" t="s">
        <v>20</v>
      </c>
      <c r="F27" s="28"/>
      <c r="G27" s="28"/>
      <c r="H27" s="28"/>
      <c r="I27" s="28"/>
      <c r="J27" s="28"/>
      <c r="K27" s="29"/>
      <c r="L27" s="13"/>
      <c r="M27" s="19"/>
      <c r="P27" s="91"/>
    </row>
    <row r="28" spans="3:16" s="14" customFormat="1" ht="12.75" x14ac:dyDescent="0.2">
      <c r="C28" s="12"/>
      <c r="D28" s="15" t="s">
        <v>34</v>
      </c>
      <c r="E28" s="16" t="s">
        <v>35</v>
      </c>
      <c r="F28" s="17" t="s">
        <v>36</v>
      </c>
      <c r="G28" s="18">
        <f t="shared" si="0"/>
        <v>2809.0680000000002</v>
      </c>
      <c r="H28" s="18">
        <f>H30+H31+H32</f>
        <v>0</v>
      </c>
      <c r="I28" s="18">
        <f>I29+I31+I32</f>
        <v>0</v>
      </c>
      <c r="J28" s="18">
        <f>J29+J30+J32</f>
        <v>1944.6660000000002</v>
      </c>
      <c r="K28" s="18">
        <f>K29+K30+K31</f>
        <v>864.40200000000027</v>
      </c>
      <c r="L28" s="13"/>
      <c r="M28" s="19"/>
      <c r="P28" s="91">
        <v>50</v>
      </c>
    </row>
    <row r="29" spans="3:16" s="14" customFormat="1" ht="12.75" x14ac:dyDescent="0.2">
      <c r="C29" s="12"/>
      <c r="D29" s="15" t="s">
        <v>37</v>
      </c>
      <c r="E29" s="20" t="s">
        <v>7</v>
      </c>
      <c r="F29" s="17" t="s">
        <v>38</v>
      </c>
      <c r="G29" s="18">
        <f t="shared" si="0"/>
        <v>868.59</v>
      </c>
      <c r="H29" s="39"/>
      <c r="I29" s="21"/>
      <c r="J29" s="21">
        <f>H45</f>
        <v>868.59</v>
      </c>
      <c r="K29" s="21"/>
      <c r="L29" s="13"/>
      <c r="M29" s="19"/>
      <c r="P29" s="91">
        <v>60</v>
      </c>
    </row>
    <row r="30" spans="3:16" s="14" customFormat="1" ht="12.75" x14ac:dyDescent="0.2">
      <c r="C30" s="12"/>
      <c r="D30" s="15" t="s">
        <v>39</v>
      </c>
      <c r="E30" s="20" t="s">
        <v>8</v>
      </c>
      <c r="F30" s="17" t="s">
        <v>40</v>
      </c>
      <c r="G30" s="18">
        <f t="shared" si="0"/>
        <v>1076.076</v>
      </c>
      <c r="H30" s="21"/>
      <c r="I30" s="39"/>
      <c r="J30" s="21">
        <f>I26-I34-I48</f>
        <v>1076.076</v>
      </c>
      <c r="K30" s="21"/>
      <c r="L30" s="13"/>
      <c r="M30" s="19"/>
      <c r="P30" s="91">
        <v>70</v>
      </c>
    </row>
    <row r="31" spans="3:16" s="14" customFormat="1" ht="12.75" x14ac:dyDescent="0.2">
      <c r="C31" s="12"/>
      <c r="D31" s="15" t="s">
        <v>41</v>
      </c>
      <c r="E31" s="20" t="s">
        <v>9</v>
      </c>
      <c r="F31" s="17" t="s">
        <v>42</v>
      </c>
      <c r="G31" s="18">
        <f t="shared" si="0"/>
        <v>864.40200000000027</v>
      </c>
      <c r="H31" s="21"/>
      <c r="I31" s="21"/>
      <c r="J31" s="39"/>
      <c r="K31" s="21">
        <f>J24+J28+J17-J48-J34</f>
        <v>864.40200000000027</v>
      </c>
      <c r="L31" s="13"/>
      <c r="M31" s="19"/>
      <c r="P31" s="91">
        <v>80</v>
      </c>
    </row>
    <row r="32" spans="3:16" s="14" customFormat="1" ht="12.75" x14ac:dyDescent="0.2">
      <c r="C32" s="12"/>
      <c r="D32" s="15" t="s">
        <v>43</v>
      </c>
      <c r="E32" s="20" t="s">
        <v>44</v>
      </c>
      <c r="F32" s="17" t="s">
        <v>45</v>
      </c>
      <c r="G32" s="18">
        <f t="shared" si="0"/>
        <v>0</v>
      </c>
      <c r="H32" s="21"/>
      <c r="I32" s="21"/>
      <c r="J32" s="21"/>
      <c r="K32" s="39"/>
      <c r="L32" s="13"/>
      <c r="M32" s="19"/>
      <c r="P32" s="91">
        <v>90</v>
      </c>
    </row>
    <row r="33" spans="3:16" s="14" customFormat="1" ht="12.75" x14ac:dyDescent="0.2">
      <c r="C33" s="12"/>
      <c r="D33" s="15" t="s">
        <v>46</v>
      </c>
      <c r="E33" s="40" t="s">
        <v>47</v>
      </c>
      <c r="F33" s="17" t="s">
        <v>48</v>
      </c>
      <c r="G33" s="18">
        <f t="shared" si="0"/>
        <v>0</v>
      </c>
      <c r="H33" s="21"/>
      <c r="I33" s="21"/>
      <c r="J33" s="21"/>
      <c r="K33" s="21"/>
      <c r="L33" s="13"/>
      <c r="M33" s="19"/>
      <c r="P33" s="91"/>
    </row>
    <row r="34" spans="3:16" s="14" customFormat="1" ht="12.75" x14ac:dyDescent="0.2">
      <c r="C34" s="12"/>
      <c r="D34" s="15" t="s">
        <v>49</v>
      </c>
      <c r="E34" s="16" t="s">
        <v>50</v>
      </c>
      <c r="F34" s="41" t="s">
        <v>51</v>
      </c>
      <c r="G34" s="18">
        <f t="shared" si="0"/>
        <v>6071.6419999999998</v>
      </c>
      <c r="H34" s="18">
        <f>H35+H37+H40+H44</f>
        <v>0</v>
      </c>
      <c r="I34" s="18">
        <f>I35+I37+I40+I44</f>
        <v>3919.6239999999998</v>
      </c>
      <c r="J34" s="18">
        <f>J35+J37+J40+J44</f>
        <v>1325.6980000000001</v>
      </c>
      <c r="K34" s="18">
        <f>K35+K37+K40+K44</f>
        <v>826.32</v>
      </c>
      <c r="L34" s="13"/>
      <c r="M34" s="19"/>
      <c r="P34" s="91">
        <v>100</v>
      </c>
    </row>
    <row r="35" spans="3:16" s="14" customFormat="1" ht="22.5" x14ac:dyDescent="0.2">
      <c r="C35" s="12"/>
      <c r="D35" s="15" t="s">
        <v>52</v>
      </c>
      <c r="E35" s="20" t="s">
        <v>53</v>
      </c>
      <c r="F35" s="17" t="s">
        <v>54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55</v>
      </c>
      <c r="E36" s="42" t="s">
        <v>56</v>
      </c>
      <c r="F36" s="17" t="s">
        <v>57</v>
      </c>
      <c r="G36" s="18">
        <f t="shared" si="0"/>
        <v>0</v>
      </c>
      <c r="H36" s="21"/>
      <c r="I36" s="21"/>
      <c r="J36" s="21"/>
      <c r="K36" s="21"/>
      <c r="L36" s="13"/>
      <c r="M36" s="19"/>
      <c r="P36" s="91"/>
    </row>
    <row r="37" spans="3:16" s="14" customFormat="1" ht="12.75" x14ac:dyDescent="0.2">
      <c r="C37" s="12"/>
      <c r="D37" s="15" t="s">
        <v>58</v>
      </c>
      <c r="E37" s="20" t="s">
        <v>59</v>
      </c>
      <c r="F37" s="17" t="s">
        <v>60</v>
      </c>
      <c r="G37" s="18">
        <f t="shared" si="0"/>
        <v>2927.9</v>
      </c>
      <c r="H37" s="21">
        <v>0</v>
      </c>
      <c r="I37" s="21">
        <f>3919.624-I42</f>
        <v>775.88199999999961</v>
      </c>
      <c r="J37" s="21">
        <v>1325.6980000000001</v>
      </c>
      <c r="K37" s="21">
        <v>826.32</v>
      </c>
      <c r="L37" s="13"/>
      <c r="M37" s="19"/>
      <c r="P37" s="91"/>
    </row>
    <row r="38" spans="3:16" s="14" customFormat="1" ht="12.75" x14ac:dyDescent="0.2">
      <c r="C38" s="12"/>
      <c r="D38" s="15" t="s">
        <v>61</v>
      </c>
      <c r="E38" s="42" t="s">
        <v>62</v>
      </c>
      <c r="F38" s="17" t="s">
        <v>63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64</v>
      </c>
      <c r="E39" s="43" t="s">
        <v>56</v>
      </c>
      <c r="F39" s="17" t="s">
        <v>65</v>
      </c>
      <c r="G39" s="18">
        <f t="shared" si="0"/>
        <v>0</v>
      </c>
      <c r="H39" s="21"/>
      <c r="I39" s="21"/>
      <c r="J39" s="21"/>
      <c r="K39" s="21"/>
      <c r="L39" s="13"/>
      <c r="M39" s="19"/>
      <c r="P39" s="91"/>
    </row>
    <row r="40" spans="3:16" s="14" customFormat="1" ht="12.75" x14ac:dyDescent="0.2">
      <c r="C40" s="12"/>
      <c r="D40" s="15" t="s">
        <v>66</v>
      </c>
      <c r="E40" s="20" t="s">
        <v>67</v>
      </c>
      <c r="F40" s="17" t="s">
        <v>68</v>
      </c>
      <c r="G40" s="18">
        <f t="shared" si="0"/>
        <v>3143.7420000000002</v>
      </c>
      <c r="H40" s="18">
        <f>SUM(H41:H43)</f>
        <v>0</v>
      </c>
      <c r="I40" s="18">
        <f>SUM(I41:I43)</f>
        <v>3143.7420000000002</v>
      </c>
      <c r="J40" s="18">
        <f>SUM(J41:J43)</f>
        <v>0</v>
      </c>
      <c r="K40" s="18">
        <f>SUM(K41:K43)</f>
        <v>0</v>
      </c>
      <c r="L40" s="13"/>
      <c r="M40" s="19"/>
      <c r="P40" s="91"/>
    </row>
    <row r="41" spans="3:16" s="14" customFormat="1" ht="12.75" x14ac:dyDescent="0.2">
      <c r="C41" s="12"/>
      <c r="D41" s="22" t="s">
        <v>69</v>
      </c>
      <c r="E41" s="23"/>
      <c r="F41" s="24" t="s">
        <v>68</v>
      </c>
      <c r="G41" s="25"/>
      <c r="H41" s="25"/>
      <c r="I41" s="25"/>
      <c r="J41" s="25"/>
      <c r="K41" s="25"/>
      <c r="L41" s="13"/>
      <c r="M41" s="19"/>
      <c r="P41" s="91"/>
    </row>
    <row r="42" spans="3:16" s="14" customFormat="1" ht="15" x14ac:dyDescent="0.25">
      <c r="C42" s="30" t="s">
        <v>29</v>
      </c>
      <c r="D42" s="31" t="s">
        <v>70</v>
      </c>
      <c r="E42" s="32" t="s">
        <v>71</v>
      </c>
      <c r="F42" s="33">
        <v>751</v>
      </c>
      <c r="G42" s="34">
        <f>SUM(H42:K42)</f>
        <v>3143.7420000000002</v>
      </c>
      <c r="H42" s="35"/>
      <c r="I42" s="35">
        <v>3143.7420000000002</v>
      </c>
      <c r="J42" s="35"/>
      <c r="K42" s="36"/>
      <c r="L42" s="13"/>
      <c r="M42" s="37" t="s">
        <v>72</v>
      </c>
      <c r="N42" s="38" t="s">
        <v>73</v>
      </c>
      <c r="O42" s="38" t="s">
        <v>337</v>
      </c>
    </row>
    <row r="43" spans="3:16" s="14" customFormat="1" ht="12.75" x14ac:dyDescent="0.2">
      <c r="C43" s="12"/>
      <c r="D43" s="44"/>
      <c r="E43" s="27" t="s">
        <v>20</v>
      </c>
      <c r="F43" s="28"/>
      <c r="G43" s="28"/>
      <c r="H43" s="28"/>
      <c r="I43" s="28"/>
      <c r="J43" s="28"/>
      <c r="K43" s="29"/>
      <c r="L43" s="13"/>
      <c r="M43" s="19"/>
      <c r="P43" s="91"/>
    </row>
    <row r="44" spans="3:16" s="14" customFormat="1" ht="12.75" x14ac:dyDescent="0.2">
      <c r="C44" s="12"/>
      <c r="D44" s="15" t="s">
        <v>74</v>
      </c>
      <c r="E44" s="45" t="s">
        <v>75</v>
      </c>
      <c r="F44" s="17" t="s">
        <v>76</v>
      </c>
      <c r="G44" s="18">
        <f t="shared" si="0"/>
        <v>0</v>
      </c>
      <c r="H44" s="21"/>
      <c r="I44" s="21"/>
      <c r="J44" s="21"/>
      <c r="K44" s="21"/>
      <c r="L44" s="13"/>
      <c r="M44" s="19"/>
      <c r="P44" s="91">
        <v>120</v>
      </c>
    </row>
    <row r="45" spans="3:16" s="14" customFormat="1" ht="12.75" x14ac:dyDescent="0.2">
      <c r="C45" s="12"/>
      <c r="D45" s="15" t="s">
        <v>77</v>
      </c>
      <c r="E45" s="16" t="s">
        <v>78</v>
      </c>
      <c r="F45" s="17" t="s">
        <v>79</v>
      </c>
      <c r="G45" s="18">
        <f t="shared" si="0"/>
        <v>2809.0680000000002</v>
      </c>
      <c r="H45" s="21">
        <f>H26-H48</f>
        <v>868.59</v>
      </c>
      <c r="I45" s="21">
        <f>I15-I34-I48</f>
        <v>1076.076</v>
      </c>
      <c r="J45" s="21">
        <f>J24+J28+J17-J34-J48</f>
        <v>864.40200000000004</v>
      </c>
      <c r="K45" s="21">
        <f>K31-K34-K48</f>
        <v>2.2026824808563106E-13</v>
      </c>
      <c r="L45" s="13"/>
      <c r="M45" s="19"/>
      <c r="P45" s="91">
        <v>150</v>
      </c>
    </row>
    <row r="46" spans="3:16" s="14" customFormat="1" ht="12.75" x14ac:dyDescent="0.2">
      <c r="C46" s="12"/>
      <c r="D46" s="15" t="s">
        <v>80</v>
      </c>
      <c r="E46" s="16" t="s">
        <v>81</v>
      </c>
      <c r="F46" s="17" t="s">
        <v>82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160</v>
      </c>
    </row>
    <row r="47" spans="3:16" s="14" customFormat="1" ht="12.75" x14ac:dyDescent="0.2">
      <c r="C47" s="12"/>
      <c r="D47" s="15" t="s">
        <v>83</v>
      </c>
      <c r="E47" s="16" t="s">
        <v>84</v>
      </c>
      <c r="F47" s="17" t="s">
        <v>85</v>
      </c>
      <c r="G47" s="18">
        <f t="shared" si="0"/>
        <v>0</v>
      </c>
      <c r="H47" s="21"/>
      <c r="I47" s="21"/>
      <c r="J47" s="21"/>
      <c r="K47" s="21"/>
      <c r="L47" s="13"/>
      <c r="M47" s="19"/>
      <c r="P47" s="91">
        <v>180</v>
      </c>
    </row>
    <row r="48" spans="3:16" s="14" customFormat="1" ht="12.75" x14ac:dyDescent="0.2">
      <c r="C48" s="12"/>
      <c r="D48" s="15" t="s">
        <v>86</v>
      </c>
      <c r="E48" s="16" t="s">
        <v>87</v>
      </c>
      <c r="F48" s="17" t="s">
        <v>88</v>
      </c>
      <c r="G48" s="18">
        <f t="shared" si="0"/>
        <v>101.50200000000001</v>
      </c>
      <c r="H48" s="21">
        <v>6.8000000000000005E-2</v>
      </c>
      <c r="I48" s="21">
        <v>42.161000000000001</v>
      </c>
      <c r="J48" s="21">
        <v>21.190999999999999</v>
      </c>
      <c r="K48" s="21">
        <v>38.082000000000001</v>
      </c>
      <c r="L48" s="13"/>
      <c r="M48" s="19"/>
      <c r="P48" s="91">
        <v>190</v>
      </c>
    </row>
    <row r="49" spans="3:16" s="14" customFormat="1" ht="12.75" x14ac:dyDescent="0.2">
      <c r="C49" s="12"/>
      <c r="D49" s="15" t="s">
        <v>89</v>
      </c>
      <c r="E49" s="20" t="s">
        <v>90</v>
      </c>
      <c r="F49" s="17" t="s">
        <v>91</v>
      </c>
      <c r="G49" s="18">
        <f t="shared" si="0"/>
        <v>0</v>
      </c>
      <c r="H49" s="21"/>
      <c r="I49" s="21"/>
      <c r="J49" s="21"/>
      <c r="K49" s="21"/>
      <c r="L49" s="13"/>
      <c r="M49" s="19"/>
      <c r="P49" s="91">
        <v>200</v>
      </c>
    </row>
    <row r="50" spans="3:16" s="14" customFormat="1" ht="22.5" x14ac:dyDescent="0.2">
      <c r="C50" s="12"/>
      <c r="D50" s="15" t="s">
        <v>92</v>
      </c>
      <c r="E50" s="16" t="s">
        <v>93</v>
      </c>
      <c r="F50" s="17" t="s">
        <v>94</v>
      </c>
      <c r="G50" s="18">
        <f t="shared" si="0"/>
        <v>73</v>
      </c>
      <c r="H50" s="21"/>
      <c r="I50" s="21">
        <f>73*0.2468</f>
        <v>18.016400000000001</v>
      </c>
      <c r="J50" s="21">
        <f>73*0.3293</f>
        <v>24.038899999999998</v>
      </c>
      <c r="K50" s="21">
        <f>73*0.4239</f>
        <v>30.944700000000001</v>
      </c>
      <c r="L50" s="13"/>
      <c r="M50" s="19"/>
      <c r="P50" s="92"/>
    </row>
    <row r="51" spans="3:16" s="14" customFormat="1" ht="33.75" x14ac:dyDescent="0.2">
      <c r="C51" s="12"/>
      <c r="D51" s="15" t="s">
        <v>95</v>
      </c>
      <c r="E51" s="40" t="s">
        <v>96</v>
      </c>
      <c r="F51" s="17" t="s">
        <v>97</v>
      </c>
      <c r="G51" s="18">
        <f t="shared" si="0"/>
        <v>28.502000000000002</v>
      </c>
      <c r="H51" s="18">
        <f>H48-H50</f>
        <v>6.8000000000000005E-2</v>
      </c>
      <c r="I51" s="18">
        <f>I48-I50</f>
        <v>24.144600000000001</v>
      </c>
      <c r="J51" s="18">
        <f>J48-J50</f>
        <v>-2.8478999999999992</v>
      </c>
      <c r="K51" s="18">
        <f>K48-K50</f>
        <v>7.1372999999999998</v>
      </c>
      <c r="L51" s="13"/>
      <c r="M51" s="19"/>
      <c r="P51" s="92"/>
    </row>
    <row r="52" spans="3:16" s="14" customFormat="1" ht="12.75" x14ac:dyDescent="0.2">
      <c r="C52" s="12"/>
      <c r="D52" s="15" t="s">
        <v>98</v>
      </c>
      <c r="E52" s="16" t="s">
        <v>99</v>
      </c>
      <c r="F52" s="17" t="s">
        <v>100</v>
      </c>
      <c r="G52" s="18">
        <f t="shared" si="0"/>
        <v>0</v>
      </c>
      <c r="H52" s="18">
        <f>(H15+H28+H33)-(H34+H45+H46+H47+H48)</f>
        <v>0</v>
      </c>
      <c r="I52" s="18">
        <f>(I15+I28+I33)-(I34+I45+I46+I47+I48)</f>
        <v>0</v>
      </c>
      <c r="J52" s="18">
        <f>(J15+J28+J33)-(J34+J45+J46+J47+J48)</f>
        <v>0</v>
      </c>
      <c r="K52" s="18">
        <f>(K15+K28+K33)-(K34+K45+K46+K47+K48)</f>
        <v>0</v>
      </c>
      <c r="L52" s="13"/>
      <c r="M52" s="19"/>
      <c r="P52" s="91">
        <v>210</v>
      </c>
    </row>
    <row r="53" spans="3:16" s="14" customFormat="1" ht="12.75" x14ac:dyDescent="0.2">
      <c r="C53" s="12"/>
      <c r="D53" s="111" t="s">
        <v>101</v>
      </c>
      <c r="E53" s="112"/>
      <c r="F53" s="112"/>
      <c r="G53" s="112"/>
      <c r="H53" s="112"/>
      <c r="I53" s="112"/>
      <c r="J53" s="112"/>
      <c r="K53" s="113"/>
      <c r="L53" s="13"/>
      <c r="M53" s="19"/>
      <c r="P53" s="92"/>
    </row>
    <row r="54" spans="3:16" s="14" customFormat="1" ht="12.75" x14ac:dyDescent="0.2">
      <c r="C54" s="12"/>
      <c r="D54" s="15" t="s">
        <v>102</v>
      </c>
      <c r="E54" s="16" t="s">
        <v>13</v>
      </c>
      <c r="F54" s="17" t="s">
        <v>103</v>
      </c>
      <c r="G54" s="18">
        <f t="shared" si="0"/>
        <v>8.297236559139785</v>
      </c>
      <c r="H54" s="18">
        <f>H55+H56+H60+H63</f>
        <v>1.1675510752688172</v>
      </c>
      <c r="I54" s="18">
        <f>I55+I56+I60+I63</f>
        <v>6.7713185483870966</v>
      </c>
      <c r="J54" s="18">
        <f>J55+J56+J60+J63</f>
        <v>0.358366935483871</v>
      </c>
      <c r="K54" s="18">
        <f>K55+K56+K60+K63</f>
        <v>0</v>
      </c>
      <c r="L54" s="13"/>
      <c r="M54" s="19"/>
      <c r="P54" s="91">
        <v>300</v>
      </c>
    </row>
    <row r="55" spans="3:16" s="14" customFormat="1" ht="12.75" x14ac:dyDescent="0.2">
      <c r="C55" s="12"/>
      <c r="D55" s="15" t="s">
        <v>104</v>
      </c>
      <c r="E55" s="20" t="s">
        <v>15</v>
      </c>
      <c r="F55" s="17" t="s">
        <v>105</v>
      </c>
      <c r="G55" s="18">
        <f t="shared" si="0"/>
        <v>0</v>
      </c>
      <c r="H55" s="21"/>
      <c r="I55" s="21"/>
      <c r="J55" s="21"/>
      <c r="K55" s="21"/>
      <c r="L55" s="13"/>
      <c r="M55" s="19"/>
      <c r="P55" s="91">
        <v>310</v>
      </c>
    </row>
    <row r="56" spans="3:16" s="14" customFormat="1" ht="12.75" x14ac:dyDescent="0.2">
      <c r="C56" s="12"/>
      <c r="D56" s="15" t="s">
        <v>106</v>
      </c>
      <c r="E56" s="20" t="s">
        <v>17</v>
      </c>
      <c r="F56" s="17" t="s">
        <v>107</v>
      </c>
      <c r="G56" s="18">
        <f t="shared" si="0"/>
        <v>1.8145161290322582E-4</v>
      </c>
      <c r="H56" s="18">
        <f>SUM(H57:H59)</f>
        <v>0</v>
      </c>
      <c r="I56" s="18">
        <f>SUM(I57:I59)</f>
        <v>0</v>
      </c>
      <c r="J56" s="18">
        <f>SUM(J57:J59)</f>
        <v>1.8145161290322582E-4</v>
      </c>
      <c r="K56" s="18">
        <f>SUM(K57:K59)</f>
        <v>0</v>
      </c>
      <c r="L56" s="13"/>
      <c r="M56" s="19"/>
      <c r="P56" s="91">
        <v>320</v>
      </c>
    </row>
    <row r="57" spans="3:16" s="14" customFormat="1" ht="12.75" x14ac:dyDescent="0.2">
      <c r="C57" s="12"/>
      <c r="D57" s="22" t="s">
        <v>108</v>
      </c>
      <c r="E57" s="23"/>
      <c r="F57" s="24" t="s">
        <v>107</v>
      </c>
      <c r="G57" s="25"/>
      <c r="H57" s="25"/>
      <c r="I57" s="25"/>
      <c r="J57" s="25"/>
      <c r="K57" s="25"/>
      <c r="L57" s="13"/>
      <c r="M57" s="19"/>
      <c r="P57" s="91"/>
    </row>
    <row r="58" spans="3:16" s="14" customFormat="1" ht="15" x14ac:dyDescent="0.25">
      <c r="C58" s="30" t="s">
        <v>29</v>
      </c>
      <c r="D58" s="31" t="s">
        <v>345</v>
      </c>
      <c r="E58" s="32" t="s">
        <v>341</v>
      </c>
      <c r="F58" s="33">
        <v>1061</v>
      </c>
      <c r="G58" s="34">
        <f>SUM(H58:K58)</f>
        <v>1.8145161290322582E-4</v>
      </c>
      <c r="H58" s="35"/>
      <c r="I58" s="35"/>
      <c r="J58" s="35">
        <f>J19/744</f>
        <v>1.8145161290322582E-4</v>
      </c>
      <c r="K58" s="36"/>
      <c r="L58" s="13"/>
      <c r="M58" s="37" t="s">
        <v>342</v>
      </c>
      <c r="N58" s="38" t="s">
        <v>343</v>
      </c>
      <c r="O58" s="38" t="s">
        <v>344</v>
      </c>
    </row>
    <row r="59" spans="3:16" s="14" customFormat="1" ht="12.75" x14ac:dyDescent="0.2">
      <c r="C59" s="12"/>
      <c r="D59" s="26"/>
      <c r="E59" s="27" t="s">
        <v>20</v>
      </c>
      <c r="F59" s="28"/>
      <c r="G59" s="28"/>
      <c r="H59" s="28"/>
      <c r="I59" s="28"/>
      <c r="J59" s="28"/>
      <c r="K59" s="29"/>
      <c r="L59" s="13"/>
      <c r="M59" s="19"/>
      <c r="P59" s="91"/>
    </row>
    <row r="60" spans="3:16" s="14" customFormat="1" ht="12.75" x14ac:dyDescent="0.2">
      <c r="C60" s="12"/>
      <c r="D60" s="15" t="s">
        <v>109</v>
      </c>
      <c r="E60" s="20" t="s">
        <v>22</v>
      </c>
      <c r="F60" s="17" t="s">
        <v>110</v>
      </c>
      <c r="G60" s="18">
        <f t="shared" si="0"/>
        <v>0</v>
      </c>
      <c r="H60" s="18">
        <f>SUM(H61:H62)</f>
        <v>0</v>
      </c>
      <c r="I60" s="18">
        <f>SUM(I61:I62)</f>
        <v>0</v>
      </c>
      <c r="J60" s="18">
        <f>SUM(J61:J62)</f>
        <v>0</v>
      </c>
      <c r="K60" s="18">
        <f>SUM(K61:K62)</f>
        <v>0</v>
      </c>
      <c r="L60" s="13"/>
      <c r="M60" s="19"/>
      <c r="P60" s="91"/>
    </row>
    <row r="61" spans="3:16" s="14" customFormat="1" ht="12.75" x14ac:dyDescent="0.2">
      <c r="C61" s="12"/>
      <c r="D61" s="22" t="s">
        <v>111</v>
      </c>
      <c r="E61" s="23"/>
      <c r="F61" s="24" t="s">
        <v>110</v>
      </c>
      <c r="G61" s="25"/>
      <c r="H61" s="25"/>
      <c r="I61" s="25"/>
      <c r="J61" s="25"/>
      <c r="K61" s="25"/>
      <c r="L61" s="13"/>
      <c r="M61" s="19"/>
      <c r="P61" s="91"/>
    </row>
    <row r="62" spans="3:16" s="14" customFormat="1" ht="12.75" x14ac:dyDescent="0.2">
      <c r="C62" s="12"/>
      <c r="D62" s="26"/>
      <c r="E62" s="27" t="s">
        <v>20</v>
      </c>
      <c r="F62" s="28"/>
      <c r="G62" s="28"/>
      <c r="H62" s="28"/>
      <c r="I62" s="28"/>
      <c r="J62" s="28"/>
      <c r="K62" s="29"/>
      <c r="L62" s="13"/>
      <c r="M62" s="19"/>
      <c r="P62" s="91"/>
    </row>
    <row r="63" spans="3:16" s="14" customFormat="1" ht="12.75" x14ac:dyDescent="0.2">
      <c r="C63" s="12"/>
      <c r="D63" s="15" t="s">
        <v>112</v>
      </c>
      <c r="E63" s="20" t="s">
        <v>26</v>
      </c>
      <c r="F63" s="17" t="s">
        <v>113</v>
      </c>
      <c r="G63" s="18">
        <f t="shared" si="0"/>
        <v>8.2970551075268819</v>
      </c>
      <c r="H63" s="18">
        <f>SUM(H64:H66)</f>
        <v>1.1675510752688172</v>
      </c>
      <c r="I63" s="18">
        <f>SUM(I64:I66)</f>
        <v>6.7713185483870966</v>
      </c>
      <c r="J63" s="18">
        <f>SUM(J64:J66)</f>
        <v>0.35818548387096777</v>
      </c>
      <c r="K63" s="18">
        <f>SUM(K64:K66)</f>
        <v>0</v>
      </c>
      <c r="L63" s="13"/>
      <c r="M63" s="19"/>
      <c r="P63" s="91">
        <v>330</v>
      </c>
    </row>
    <row r="64" spans="3:16" s="14" customFormat="1" ht="12.75" x14ac:dyDescent="0.2">
      <c r="C64" s="12"/>
      <c r="D64" s="22" t="s">
        <v>114</v>
      </c>
      <c r="E64" s="23"/>
      <c r="F64" s="24" t="s">
        <v>113</v>
      </c>
      <c r="G64" s="25"/>
      <c r="H64" s="25"/>
      <c r="I64" s="25"/>
      <c r="J64" s="25"/>
      <c r="K64" s="25"/>
      <c r="L64" s="13"/>
      <c r="M64" s="19"/>
      <c r="P64" s="91"/>
    </row>
    <row r="65" spans="3:16" s="14" customFormat="1" ht="15" x14ac:dyDescent="0.25">
      <c r="C65" s="30" t="s">
        <v>29</v>
      </c>
      <c r="D65" s="31" t="s">
        <v>115</v>
      </c>
      <c r="E65" s="32" t="s">
        <v>31</v>
      </c>
      <c r="F65" s="33">
        <v>1461</v>
      </c>
      <c r="G65" s="34">
        <f>SUM(H65:K65)</f>
        <v>8.2970551075268819</v>
      </c>
      <c r="H65" s="35">
        <f>H26/744</f>
        <v>1.1675510752688172</v>
      </c>
      <c r="I65" s="35">
        <f>I26/744</f>
        <v>6.7713185483870966</v>
      </c>
      <c r="J65" s="35">
        <f>J26/744</f>
        <v>0.35818548387096777</v>
      </c>
      <c r="K65" s="35"/>
      <c r="L65" s="13"/>
      <c r="M65" s="37" t="s">
        <v>32</v>
      </c>
      <c r="N65" s="38" t="s">
        <v>33</v>
      </c>
      <c r="O65" s="38" t="s">
        <v>336</v>
      </c>
    </row>
    <row r="66" spans="3:16" s="14" customFormat="1" ht="12.75" x14ac:dyDescent="0.2">
      <c r="C66" s="12"/>
      <c r="D66" s="26"/>
      <c r="E66" s="27" t="s">
        <v>20</v>
      </c>
      <c r="F66" s="28"/>
      <c r="G66" s="28"/>
      <c r="H66" s="28"/>
      <c r="I66" s="28"/>
      <c r="J66" s="28"/>
      <c r="K66" s="29"/>
      <c r="L66" s="13"/>
      <c r="M66" s="19"/>
      <c r="P66" s="91"/>
    </row>
    <row r="67" spans="3:16" s="14" customFormat="1" ht="12.75" x14ac:dyDescent="0.2">
      <c r="C67" s="12"/>
      <c r="D67" s="15" t="s">
        <v>116</v>
      </c>
      <c r="E67" s="16" t="s">
        <v>35</v>
      </c>
      <c r="F67" s="17" t="s">
        <v>117</v>
      </c>
      <c r="G67" s="18">
        <f t="shared" si="0"/>
        <v>3.775629032258065</v>
      </c>
      <c r="H67" s="18">
        <f>H69+H70+H71</f>
        <v>0</v>
      </c>
      <c r="I67" s="18">
        <f>I68+I70+I71</f>
        <v>0</v>
      </c>
      <c r="J67" s="18">
        <f>J68+J69+J71</f>
        <v>2.6137983870967743</v>
      </c>
      <c r="K67" s="18">
        <f>K68+K69+K70</f>
        <v>1.1618306451612908</v>
      </c>
      <c r="L67" s="13"/>
      <c r="M67" s="19"/>
      <c r="P67" s="91">
        <v>340</v>
      </c>
    </row>
    <row r="68" spans="3:16" s="14" customFormat="1" ht="12.75" x14ac:dyDescent="0.2">
      <c r="C68" s="12"/>
      <c r="D68" s="15" t="s">
        <v>118</v>
      </c>
      <c r="E68" s="20" t="s">
        <v>7</v>
      </c>
      <c r="F68" s="17" t="s">
        <v>119</v>
      </c>
      <c r="G68" s="18">
        <f t="shared" si="0"/>
        <v>1.1674596774193549</v>
      </c>
      <c r="H68" s="39"/>
      <c r="I68" s="21"/>
      <c r="J68" s="21">
        <f>J29/744</f>
        <v>1.1674596774193549</v>
      </c>
      <c r="K68" s="21"/>
      <c r="L68" s="13"/>
      <c r="M68" s="19"/>
      <c r="P68" s="91">
        <v>350</v>
      </c>
    </row>
    <row r="69" spans="3:16" s="14" customFormat="1" ht="12.75" x14ac:dyDescent="0.2">
      <c r="C69" s="12"/>
      <c r="D69" s="15" t="s">
        <v>120</v>
      </c>
      <c r="E69" s="20" t="s">
        <v>8</v>
      </c>
      <c r="F69" s="17" t="s">
        <v>121</v>
      </c>
      <c r="G69" s="18">
        <f t="shared" si="0"/>
        <v>1.4463387096774194</v>
      </c>
      <c r="H69" s="21"/>
      <c r="I69" s="46"/>
      <c r="J69" s="21">
        <f>J30/744</f>
        <v>1.4463387096774194</v>
      </c>
      <c r="K69" s="21"/>
      <c r="L69" s="13"/>
      <c r="M69" s="19"/>
      <c r="P69" s="91">
        <v>360</v>
      </c>
    </row>
    <row r="70" spans="3:16" s="14" customFormat="1" ht="12.75" x14ac:dyDescent="0.2">
      <c r="C70" s="12"/>
      <c r="D70" s="15" t="s">
        <v>122</v>
      </c>
      <c r="E70" s="20" t="s">
        <v>9</v>
      </c>
      <c r="F70" s="17" t="s">
        <v>123</v>
      </c>
      <c r="G70" s="18">
        <f t="shared" si="0"/>
        <v>1.1618306451612908</v>
      </c>
      <c r="H70" s="21"/>
      <c r="I70" s="21"/>
      <c r="J70" s="39"/>
      <c r="K70" s="21">
        <f>K31/744</f>
        <v>1.1618306451612908</v>
      </c>
      <c r="L70" s="13"/>
      <c r="M70" s="19"/>
      <c r="P70" s="91">
        <v>370</v>
      </c>
    </row>
    <row r="71" spans="3:16" s="14" customFormat="1" ht="12.75" x14ac:dyDescent="0.2">
      <c r="C71" s="12"/>
      <c r="D71" s="15" t="s">
        <v>124</v>
      </c>
      <c r="E71" s="20" t="s">
        <v>44</v>
      </c>
      <c r="F71" s="17" t="s">
        <v>125</v>
      </c>
      <c r="G71" s="18">
        <f t="shared" si="0"/>
        <v>0</v>
      </c>
      <c r="H71" s="21"/>
      <c r="I71" s="21"/>
      <c r="J71" s="21"/>
      <c r="K71" s="39"/>
      <c r="L71" s="13"/>
      <c r="M71" s="19"/>
      <c r="P71" s="91">
        <v>380</v>
      </c>
    </row>
    <row r="72" spans="3:16" s="14" customFormat="1" ht="12.75" x14ac:dyDescent="0.2">
      <c r="C72" s="12"/>
      <c r="D72" s="15" t="s">
        <v>126</v>
      </c>
      <c r="E72" s="40" t="s">
        <v>47</v>
      </c>
      <c r="F72" s="17" t="s">
        <v>127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128</v>
      </c>
      <c r="E73" s="16" t="s">
        <v>50</v>
      </c>
      <c r="F73" s="41" t="s">
        <v>129</v>
      </c>
      <c r="G73" s="18">
        <f t="shared" si="0"/>
        <v>8.1608091397849467</v>
      </c>
      <c r="H73" s="18">
        <f>H74+H76+H79+H83</f>
        <v>0</v>
      </c>
      <c r="I73" s="18">
        <f>I74+I76+I79+I83</f>
        <v>5.2683118279569889</v>
      </c>
      <c r="J73" s="18">
        <f>J74+J76+J79+J83</f>
        <v>1.7818521505376346</v>
      </c>
      <c r="K73" s="18">
        <f>K74+K76+K79+K83</f>
        <v>1.1106451612903228</v>
      </c>
      <c r="L73" s="13"/>
      <c r="M73" s="19"/>
      <c r="P73" s="91">
        <v>390</v>
      </c>
    </row>
    <row r="74" spans="3:16" s="14" customFormat="1" ht="22.5" x14ac:dyDescent="0.2">
      <c r="C74" s="12"/>
      <c r="D74" s="15" t="s">
        <v>130</v>
      </c>
      <c r="E74" s="20" t="s">
        <v>53</v>
      </c>
      <c r="F74" s="17" t="s">
        <v>131</v>
      </c>
      <c r="G74" s="18">
        <f t="shared" si="0"/>
        <v>0</v>
      </c>
      <c r="H74" s="21"/>
      <c r="I74" s="21"/>
      <c r="J74" s="21"/>
      <c r="K74" s="21"/>
      <c r="L74" s="13"/>
      <c r="M74" s="19"/>
      <c r="P74" s="91"/>
    </row>
    <row r="75" spans="3:16" s="14" customFormat="1" ht="12.75" x14ac:dyDescent="0.2">
      <c r="C75" s="12"/>
      <c r="D75" s="15" t="s">
        <v>132</v>
      </c>
      <c r="E75" s="42" t="s">
        <v>56</v>
      </c>
      <c r="F75" s="17" t="s">
        <v>133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134</v>
      </c>
      <c r="E76" s="20" t="s">
        <v>59</v>
      </c>
      <c r="F76" s="17" t="s">
        <v>135</v>
      </c>
      <c r="G76" s="18">
        <f t="shared" si="0"/>
        <v>3.9353494623655911</v>
      </c>
      <c r="H76" s="21"/>
      <c r="I76" s="21">
        <f>I37/744</f>
        <v>1.0428521505376338</v>
      </c>
      <c r="J76" s="21">
        <f>J37/744</f>
        <v>1.7818521505376346</v>
      </c>
      <c r="K76" s="21">
        <f>K37/744</f>
        <v>1.1106451612903228</v>
      </c>
      <c r="L76" s="13"/>
      <c r="M76" s="19"/>
      <c r="P76" s="91"/>
    </row>
    <row r="77" spans="3:16" s="14" customFormat="1" ht="12.75" x14ac:dyDescent="0.2">
      <c r="C77" s="12"/>
      <c r="D77" s="15" t="s">
        <v>136</v>
      </c>
      <c r="E77" s="42" t="s">
        <v>62</v>
      </c>
      <c r="F77" s="17" t="s">
        <v>137</v>
      </c>
      <c r="G77" s="18">
        <f t="shared" si="0"/>
        <v>0</v>
      </c>
      <c r="H77" s="21"/>
      <c r="I77" s="21"/>
      <c r="J77" s="21"/>
      <c r="K77" s="21"/>
      <c r="L77" s="13"/>
      <c r="M77" s="19"/>
      <c r="P77" s="91"/>
    </row>
    <row r="78" spans="3:16" s="14" customFormat="1" ht="12.75" x14ac:dyDescent="0.2">
      <c r="C78" s="12"/>
      <c r="D78" s="15" t="s">
        <v>138</v>
      </c>
      <c r="E78" s="43" t="s">
        <v>56</v>
      </c>
      <c r="F78" s="17" t="s">
        <v>139</v>
      </c>
      <c r="G78" s="18">
        <f t="shared" si="0"/>
        <v>0</v>
      </c>
      <c r="H78" s="21"/>
      <c r="I78" s="21"/>
      <c r="J78" s="21"/>
      <c r="K78" s="21"/>
      <c r="L78" s="13"/>
      <c r="M78" s="19"/>
      <c r="P78" s="91"/>
    </row>
    <row r="79" spans="3:16" s="14" customFormat="1" ht="12.75" x14ac:dyDescent="0.2">
      <c r="C79" s="12"/>
      <c r="D79" s="15" t="s">
        <v>140</v>
      </c>
      <c r="E79" s="20" t="s">
        <v>67</v>
      </c>
      <c r="F79" s="17" t="s">
        <v>141</v>
      </c>
      <c r="G79" s="18">
        <f t="shared" si="0"/>
        <v>4.2254596774193551</v>
      </c>
      <c r="H79" s="18">
        <f>SUM(H80:H82)</f>
        <v>0</v>
      </c>
      <c r="I79" s="18">
        <f>SUM(I80:I82)</f>
        <v>4.2254596774193551</v>
      </c>
      <c r="J79" s="18">
        <f>SUM(J80:J82)</f>
        <v>0</v>
      </c>
      <c r="K79" s="18">
        <f>SUM(K80:K82)</f>
        <v>0</v>
      </c>
      <c r="L79" s="13"/>
      <c r="M79" s="19"/>
      <c r="P79" s="91"/>
    </row>
    <row r="80" spans="3:16" s="14" customFormat="1" ht="12.75" x14ac:dyDescent="0.2">
      <c r="C80" s="12"/>
      <c r="D80" s="22" t="s">
        <v>142</v>
      </c>
      <c r="E80" s="23"/>
      <c r="F80" s="24" t="s">
        <v>141</v>
      </c>
      <c r="G80" s="25"/>
      <c r="H80" s="25"/>
      <c r="I80" s="25"/>
      <c r="J80" s="25"/>
      <c r="K80" s="25"/>
      <c r="L80" s="13"/>
      <c r="M80" s="19"/>
      <c r="P80" s="91"/>
    </row>
    <row r="81" spans="3:16" s="14" customFormat="1" ht="15" x14ac:dyDescent="0.25">
      <c r="C81" s="30" t="s">
        <v>29</v>
      </c>
      <c r="D81" s="31" t="s">
        <v>143</v>
      </c>
      <c r="E81" s="32" t="s">
        <v>71</v>
      </c>
      <c r="F81" s="33">
        <v>1781</v>
      </c>
      <c r="G81" s="34">
        <f>SUM(H81:K81)</f>
        <v>4.2254596774193551</v>
      </c>
      <c r="H81" s="35"/>
      <c r="I81" s="35">
        <f>I42/744</f>
        <v>4.2254596774193551</v>
      </c>
      <c r="J81" s="35"/>
      <c r="K81" s="36"/>
      <c r="L81" s="13"/>
      <c r="M81" s="37" t="s">
        <v>72</v>
      </c>
      <c r="N81" s="38" t="s">
        <v>73</v>
      </c>
      <c r="O81" s="38" t="s">
        <v>337</v>
      </c>
    </row>
    <row r="82" spans="3:16" s="14" customFormat="1" ht="12.75" x14ac:dyDescent="0.2">
      <c r="C82" s="12"/>
      <c r="D82" s="26"/>
      <c r="E82" s="27" t="s">
        <v>20</v>
      </c>
      <c r="F82" s="28"/>
      <c r="G82" s="28"/>
      <c r="H82" s="28"/>
      <c r="I82" s="28"/>
      <c r="J82" s="28"/>
      <c r="K82" s="29"/>
      <c r="L82" s="13"/>
      <c r="M82" s="19"/>
      <c r="P82" s="91"/>
    </row>
    <row r="83" spans="3:16" s="14" customFormat="1" ht="12.75" x14ac:dyDescent="0.2">
      <c r="C83" s="12"/>
      <c r="D83" s="15" t="s">
        <v>144</v>
      </c>
      <c r="E83" s="45" t="s">
        <v>75</v>
      </c>
      <c r="F83" s="17" t="s">
        <v>145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410</v>
      </c>
    </row>
    <row r="84" spans="3:16" s="14" customFormat="1" ht="12.75" x14ac:dyDescent="0.2">
      <c r="C84" s="12"/>
      <c r="D84" s="15" t="s">
        <v>146</v>
      </c>
      <c r="E84" s="16" t="s">
        <v>78</v>
      </c>
      <c r="F84" s="17" t="s">
        <v>147</v>
      </c>
      <c r="G84" s="18">
        <f t="shared" si="0"/>
        <v>3.7756290322580646</v>
      </c>
      <c r="H84" s="21">
        <f>H45/744</f>
        <v>1.1674596774193549</v>
      </c>
      <c r="I84" s="21">
        <f>I45/744</f>
        <v>1.4463387096774194</v>
      </c>
      <c r="J84" s="21">
        <f>J45/744</f>
        <v>1.1618306451612903</v>
      </c>
      <c r="K84" s="21"/>
      <c r="L84" s="13"/>
      <c r="M84" s="19"/>
      <c r="P84" s="91">
        <v>440</v>
      </c>
    </row>
    <row r="85" spans="3:16" s="14" customFormat="1" ht="12.75" x14ac:dyDescent="0.2">
      <c r="C85" s="12"/>
      <c r="D85" s="15" t="s">
        <v>148</v>
      </c>
      <c r="E85" s="16" t="s">
        <v>81</v>
      </c>
      <c r="F85" s="17" t="s">
        <v>149</v>
      </c>
      <c r="G85" s="18">
        <f t="shared" si="0"/>
        <v>0</v>
      </c>
      <c r="H85" s="21"/>
      <c r="I85" s="21"/>
      <c r="J85" s="21"/>
      <c r="K85" s="21"/>
      <c r="L85" s="13"/>
      <c r="M85" s="19"/>
      <c r="P85" s="91">
        <v>450</v>
      </c>
    </row>
    <row r="86" spans="3:16" s="14" customFormat="1" ht="12.75" x14ac:dyDescent="0.2">
      <c r="C86" s="12"/>
      <c r="D86" s="15" t="s">
        <v>150</v>
      </c>
      <c r="E86" s="16" t="s">
        <v>84</v>
      </c>
      <c r="F86" s="17" t="s">
        <v>151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470</v>
      </c>
    </row>
    <row r="87" spans="3:16" s="14" customFormat="1" ht="12.75" x14ac:dyDescent="0.2">
      <c r="C87" s="12"/>
      <c r="D87" s="15" t="s">
        <v>152</v>
      </c>
      <c r="E87" s="16" t="s">
        <v>87</v>
      </c>
      <c r="F87" s="17" t="s">
        <v>153</v>
      </c>
      <c r="G87" s="18">
        <f t="shared" si="0"/>
        <v>0.13642741935483871</v>
      </c>
      <c r="H87" s="21">
        <f>H48/744</f>
        <v>9.1397849462365594E-5</v>
      </c>
      <c r="I87" s="21">
        <f>I48/744</f>
        <v>5.6668010752688174E-2</v>
      </c>
      <c r="J87" s="21">
        <f>J48/744</f>
        <v>2.848252688172043E-2</v>
      </c>
      <c r="K87" s="21">
        <f>K48/744</f>
        <v>5.1185483870967746E-2</v>
      </c>
      <c r="L87" s="13"/>
      <c r="M87" s="19"/>
      <c r="P87" s="91">
        <v>480</v>
      </c>
    </row>
    <row r="88" spans="3:16" s="14" customFormat="1" ht="12.75" x14ac:dyDescent="0.2">
      <c r="C88" s="12"/>
      <c r="D88" s="15" t="s">
        <v>154</v>
      </c>
      <c r="E88" s="20" t="s">
        <v>155</v>
      </c>
      <c r="F88" s="17" t="s">
        <v>156</v>
      </c>
      <c r="G88" s="18">
        <f t="shared" si="0"/>
        <v>0</v>
      </c>
      <c r="H88" s="21"/>
      <c r="I88" s="21"/>
      <c r="J88" s="21"/>
      <c r="K88" s="21"/>
      <c r="L88" s="13"/>
      <c r="M88" s="19"/>
      <c r="P88" s="91">
        <v>490</v>
      </c>
    </row>
    <row r="89" spans="3:16" s="14" customFormat="1" ht="22.5" x14ac:dyDescent="0.2">
      <c r="C89" s="12"/>
      <c r="D89" s="15" t="s">
        <v>157</v>
      </c>
      <c r="E89" s="16" t="s">
        <v>93</v>
      </c>
      <c r="F89" s="17" t="s">
        <v>158</v>
      </c>
      <c r="G89" s="18">
        <f t="shared" si="0"/>
        <v>9.8118279569892469E-2</v>
      </c>
      <c r="H89" s="21"/>
      <c r="I89" s="21">
        <f>I50/744</f>
        <v>2.4215591397849463E-2</v>
      </c>
      <c r="J89" s="21">
        <f>J50/744</f>
        <v>3.2310349462365592E-2</v>
      </c>
      <c r="K89" s="21">
        <f>K50/744</f>
        <v>4.1592338709677421E-2</v>
      </c>
      <c r="L89" s="13"/>
      <c r="M89" s="19"/>
      <c r="P89" s="91"/>
    </row>
    <row r="90" spans="3:16" s="14" customFormat="1" ht="33.75" x14ac:dyDescent="0.2">
      <c r="C90" s="12"/>
      <c r="D90" s="15" t="s">
        <v>159</v>
      </c>
      <c r="E90" s="40" t="s">
        <v>96</v>
      </c>
      <c r="F90" s="17" t="s">
        <v>160</v>
      </c>
      <c r="G90" s="18">
        <f t="shared" si="0"/>
        <v>3.8309139784946239E-2</v>
      </c>
      <c r="H90" s="18">
        <f>H87-H89</f>
        <v>9.1397849462365594E-5</v>
      </c>
      <c r="I90" s="18">
        <f>I87-I89</f>
        <v>3.245241935483871E-2</v>
      </c>
      <c r="J90" s="18">
        <f>J87-J89</f>
        <v>-3.827822580645162E-3</v>
      </c>
      <c r="K90" s="18">
        <f>K87-K89</f>
        <v>9.5931451612903257E-3</v>
      </c>
      <c r="L90" s="13"/>
      <c r="M90" s="19"/>
      <c r="P90" s="91"/>
    </row>
    <row r="91" spans="3:16" s="14" customFormat="1" ht="12.75" x14ac:dyDescent="0.2">
      <c r="C91" s="12"/>
      <c r="D91" s="15" t="s">
        <v>161</v>
      </c>
      <c r="E91" s="16" t="s">
        <v>99</v>
      </c>
      <c r="F91" s="17" t="s">
        <v>162</v>
      </c>
      <c r="G91" s="18">
        <f t="shared" si="0"/>
        <v>0</v>
      </c>
      <c r="H91" s="18">
        <f>(H54+H67+H72)-(H73+H84+H85+H86+H87)</f>
        <v>0</v>
      </c>
      <c r="I91" s="18">
        <f>(I54+I67+I72)-(I73+I84+I85+I86+I87)</f>
        <v>0</v>
      </c>
      <c r="J91" s="18">
        <f>(J54+J67+J72)-(J73+J84+J85+J86+J87)</f>
        <v>0</v>
      </c>
      <c r="K91" s="18">
        <f>(K54+K67+K72)-(K73+K84+K85+K86+K87)</f>
        <v>0</v>
      </c>
      <c r="L91" s="13"/>
      <c r="M91" s="19"/>
      <c r="P91" s="91">
        <v>500</v>
      </c>
    </row>
    <row r="92" spans="3:16" s="14" customFormat="1" ht="12.75" x14ac:dyDescent="0.2">
      <c r="C92" s="12"/>
      <c r="D92" s="111" t="s">
        <v>163</v>
      </c>
      <c r="E92" s="112"/>
      <c r="F92" s="112"/>
      <c r="G92" s="112"/>
      <c r="H92" s="112"/>
      <c r="I92" s="112"/>
      <c r="J92" s="112"/>
      <c r="K92" s="113"/>
      <c r="L92" s="13"/>
      <c r="M92" s="19"/>
      <c r="P92" s="92"/>
    </row>
    <row r="93" spans="3:16" s="14" customFormat="1" ht="12.75" x14ac:dyDescent="0.2">
      <c r="C93" s="12"/>
      <c r="D93" s="15" t="s">
        <v>164</v>
      </c>
      <c r="E93" s="16" t="s">
        <v>165</v>
      </c>
      <c r="F93" s="17" t="s">
        <v>166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600</v>
      </c>
    </row>
    <row r="94" spans="3:16" s="14" customFormat="1" ht="12.75" x14ac:dyDescent="0.2">
      <c r="C94" s="12"/>
      <c r="D94" s="15" t="s">
        <v>167</v>
      </c>
      <c r="E94" s="16" t="s">
        <v>168</v>
      </c>
      <c r="F94" s="17" t="s">
        <v>169</v>
      </c>
      <c r="G94" s="18">
        <f t="shared" si="0"/>
        <v>25.006</v>
      </c>
      <c r="H94" s="21"/>
      <c r="I94" s="21">
        <v>25.006</v>
      </c>
      <c r="J94" s="21"/>
      <c r="K94" s="21"/>
      <c r="L94" s="13"/>
      <c r="M94" s="19"/>
      <c r="P94" s="91">
        <v>610</v>
      </c>
    </row>
    <row r="95" spans="3:16" s="14" customFormat="1" ht="12.75" x14ac:dyDescent="0.2">
      <c r="C95" s="12"/>
      <c r="D95" s="15" t="s">
        <v>170</v>
      </c>
      <c r="E95" s="16" t="s">
        <v>171</v>
      </c>
      <c r="F95" s="17" t="s">
        <v>172</v>
      </c>
      <c r="G95" s="18">
        <f t="shared" si="0"/>
        <v>0</v>
      </c>
      <c r="H95" s="21"/>
      <c r="I95" s="21"/>
      <c r="J95" s="21"/>
      <c r="K95" s="21"/>
      <c r="L95" s="13"/>
      <c r="M95" s="19"/>
      <c r="P95" s="91">
        <v>620</v>
      </c>
    </row>
    <row r="96" spans="3:16" s="14" customFormat="1" ht="12.75" x14ac:dyDescent="0.2">
      <c r="C96" s="12"/>
      <c r="D96" s="111" t="s">
        <v>173</v>
      </c>
      <c r="E96" s="112"/>
      <c r="F96" s="112"/>
      <c r="G96" s="112"/>
      <c r="H96" s="112"/>
      <c r="I96" s="112"/>
      <c r="J96" s="112"/>
      <c r="K96" s="113"/>
      <c r="L96" s="13"/>
      <c r="M96" s="19"/>
      <c r="P96" s="92"/>
    </row>
    <row r="97" spans="3:16" s="14" customFormat="1" ht="12.75" x14ac:dyDescent="0.2">
      <c r="C97" s="12"/>
      <c r="D97" s="15" t="s">
        <v>174</v>
      </c>
      <c r="E97" s="16" t="s">
        <v>175</v>
      </c>
      <c r="F97" s="17" t="s">
        <v>176</v>
      </c>
      <c r="G97" s="18">
        <f t="shared" si="0"/>
        <v>0</v>
      </c>
      <c r="H97" s="18">
        <f>SUM(H98:H99)</f>
        <v>0</v>
      </c>
      <c r="I97" s="18">
        <f>SUM(I98:I99)</f>
        <v>0</v>
      </c>
      <c r="J97" s="18">
        <f>SUM(J98:J99)</f>
        <v>0</v>
      </c>
      <c r="K97" s="18">
        <f>SUM(K98:K99)</f>
        <v>0</v>
      </c>
      <c r="L97" s="13"/>
      <c r="M97" s="19"/>
      <c r="P97" s="91">
        <v>700</v>
      </c>
    </row>
    <row r="98" spans="3:16" ht="12.75" x14ac:dyDescent="0.2">
      <c r="C98" s="2"/>
      <c r="D98" s="47" t="s">
        <v>177</v>
      </c>
      <c r="E98" s="20" t="s">
        <v>178</v>
      </c>
      <c r="F98" s="17" t="s">
        <v>179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710</v>
      </c>
    </row>
    <row r="99" spans="3:16" ht="12.75" x14ac:dyDescent="0.2">
      <c r="C99" s="2"/>
      <c r="D99" s="47" t="s">
        <v>180</v>
      </c>
      <c r="E99" s="20" t="s">
        <v>181</v>
      </c>
      <c r="F99" s="17" t="s">
        <v>182</v>
      </c>
      <c r="G99" s="18">
        <f t="shared" si="0"/>
        <v>0</v>
      </c>
      <c r="H99" s="49">
        <f>H102</f>
        <v>0</v>
      </c>
      <c r="I99" s="49">
        <f>I102</f>
        <v>0</v>
      </c>
      <c r="J99" s="49">
        <f>J102</f>
        <v>0</v>
      </c>
      <c r="K99" s="49">
        <f>K102</f>
        <v>0</v>
      </c>
      <c r="L99" s="8"/>
      <c r="M99" s="19"/>
      <c r="P99" s="91">
        <v>720</v>
      </c>
    </row>
    <row r="100" spans="3:16" ht="12.75" x14ac:dyDescent="0.2">
      <c r="C100" s="2"/>
      <c r="D100" s="47" t="s">
        <v>183</v>
      </c>
      <c r="E100" s="42" t="s">
        <v>184</v>
      </c>
      <c r="F100" s="17" t="s">
        <v>185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730</v>
      </c>
    </row>
    <row r="101" spans="3:16" ht="12.75" x14ac:dyDescent="0.2">
      <c r="C101" s="2"/>
      <c r="D101" s="47" t="s">
        <v>186</v>
      </c>
      <c r="E101" s="43" t="s">
        <v>187</v>
      </c>
      <c r="F101" s="17" t="s">
        <v>188</v>
      </c>
      <c r="G101" s="18">
        <f t="shared" si="0"/>
        <v>0</v>
      </c>
      <c r="H101" s="48"/>
      <c r="I101" s="48"/>
      <c r="J101" s="48"/>
      <c r="K101" s="48"/>
      <c r="L101" s="8"/>
      <c r="M101" s="19"/>
      <c r="P101" s="91"/>
    </row>
    <row r="102" spans="3:16" ht="12.75" x14ac:dyDescent="0.2">
      <c r="C102" s="2"/>
      <c r="D102" s="47" t="s">
        <v>189</v>
      </c>
      <c r="E102" s="42" t="s">
        <v>190</v>
      </c>
      <c r="F102" s="17" t="s">
        <v>191</v>
      </c>
      <c r="G102" s="18">
        <f t="shared" si="0"/>
        <v>0</v>
      </c>
      <c r="H102" s="48"/>
      <c r="I102" s="48"/>
      <c r="J102" s="48"/>
      <c r="K102" s="48"/>
      <c r="L102" s="8"/>
      <c r="M102" s="19"/>
      <c r="P102" s="91">
        <v>740</v>
      </c>
    </row>
    <row r="103" spans="3:16" ht="12.75" x14ac:dyDescent="0.2">
      <c r="C103" s="2"/>
      <c r="D103" s="47" t="s">
        <v>192</v>
      </c>
      <c r="E103" s="16" t="s">
        <v>193</v>
      </c>
      <c r="F103" s="17" t="s">
        <v>194</v>
      </c>
      <c r="G103" s="18">
        <f t="shared" si="0"/>
        <v>0</v>
      </c>
      <c r="H103" s="49">
        <f>H104+H120</f>
        <v>0</v>
      </c>
      <c r="I103" s="49">
        <f>I104+I120</f>
        <v>0</v>
      </c>
      <c r="J103" s="49">
        <f>J104+J120</f>
        <v>0</v>
      </c>
      <c r="K103" s="49">
        <f>K104+K120</f>
        <v>0</v>
      </c>
      <c r="L103" s="8"/>
      <c r="M103" s="19"/>
      <c r="P103" s="91">
        <v>750</v>
      </c>
    </row>
    <row r="104" spans="3:16" ht="12.75" x14ac:dyDescent="0.2">
      <c r="C104" s="2"/>
      <c r="D104" s="47" t="s">
        <v>195</v>
      </c>
      <c r="E104" s="20" t="s">
        <v>196</v>
      </c>
      <c r="F104" s="17" t="s">
        <v>197</v>
      </c>
      <c r="G104" s="18">
        <f t="shared" si="0"/>
        <v>0</v>
      </c>
      <c r="H104" s="49">
        <f>H105+H106</f>
        <v>0</v>
      </c>
      <c r="I104" s="49">
        <f>I105+I106</f>
        <v>0</v>
      </c>
      <c r="J104" s="49">
        <f>J105+J106</f>
        <v>0</v>
      </c>
      <c r="K104" s="49">
        <f>K105+K106</f>
        <v>0</v>
      </c>
      <c r="L104" s="8"/>
      <c r="M104" s="19"/>
      <c r="P104" s="91">
        <v>760</v>
      </c>
    </row>
    <row r="105" spans="3:16" ht="12.75" x14ac:dyDescent="0.2">
      <c r="C105" s="2"/>
      <c r="D105" s="47" t="s">
        <v>198</v>
      </c>
      <c r="E105" s="42" t="s">
        <v>199</v>
      </c>
      <c r="F105" s="17" t="s">
        <v>200</v>
      </c>
      <c r="G105" s="18">
        <f t="shared" si="0"/>
        <v>0</v>
      </c>
      <c r="H105" s="48"/>
      <c r="I105" s="48"/>
      <c r="J105" s="48"/>
      <c r="K105" s="48"/>
      <c r="L105" s="8"/>
      <c r="M105" s="19"/>
      <c r="P105" s="91"/>
    </row>
    <row r="106" spans="3:16" ht="12.75" x14ac:dyDescent="0.2">
      <c r="C106" s="2"/>
      <c r="D106" s="47" t="s">
        <v>201</v>
      </c>
      <c r="E106" s="42" t="s">
        <v>202</v>
      </c>
      <c r="F106" s="17" t="s">
        <v>203</v>
      </c>
      <c r="G106" s="18">
        <f t="shared" si="0"/>
        <v>0</v>
      </c>
      <c r="H106" s="49">
        <f>H107+H110+H113+H116+H117+H118+H119</f>
        <v>0</v>
      </c>
      <c r="I106" s="49">
        <f>I107+I110+I113+I116+I117+I118+I119</f>
        <v>0</v>
      </c>
      <c r="J106" s="49">
        <f>J107+J110+J113+J116+J117+J118+J119</f>
        <v>0</v>
      </c>
      <c r="K106" s="49">
        <f>K107+K110+K113+K116+K117+K118+K119</f>
        <v>0</v>
      </c>
      <c r="L106" s="8"/>
      <c r="M106" s="19"/>
      <c r="P106" s="91"/>
    </row>
    <row r="107" spans="3:16" ht="45" x14ac:dyDescent="0.2">
      <c r="C107" s="2"/>
      <c r="D107" s="47" t="s">
        <v>204</v>
      </c>
      <c r="E107" s="43" t="s">
        <v>205</v>
      </c>
      <c r="F107" s="17" t="s">
        <v>206</v>
      </c>
      <c r="G107" s="18">
        <f t="shared" si="0"/>
        <v>0</v>
      </c>
      <c r="H107" s="50">
        <f>H108+H109</f>
        <v>0</v>
      </c>
      <c r="I107" s="50">
        <f>I108+I109</f>
        <v>0</v>
      </c>
      <c r="J107" s="50">
        <f>J108+J109</f>
        <v>0</v>
      </c>
      <c r="K107" s="50">
        <f>K108+K109</f>
        <v>0</v>
      </c>
      <c r="L107" s="8"/>
      <c r="M107" s="19"/>
      <c r="P107" s="91"/>
    </row>
    <row r="108" spans="3:16" ht="12.75" x14ac:dyDescent="0.2">
      <c r="C108" s="2"/>
      <c r="D108" s="47" t="s">
        <v>207</v>
      </c>
      <c r="E108" s="51" t="s">
        <v>208</v>
      </c>
      <c r="F108" s="17" t="s">
        <v>209</v>
      </c>
      <c r="G108" s="18">
        <f t="shared" si="0"/>
        <v>0</v>
      </c>
      <c r="H108" s="48"/>
      <c r="I108" s="48"/>
      <c r="J108" s="48"/>
      <c r="K108" s="48"/>
      <c r="L108" s="8"/>
      <c r="M108" s="19"/>
      <c r="P108" s="91"/>
    </row>
    <row r="109" spans="3:16" ht="12.75" x14ac:dyDescent="0.2">
      <c r="C109" s="2"/>
      <c r="D109" s="47" t="s">
        <v>210</v>
      </c>
      <c r="E109" s="51" t="s">
        <v>211</v>
      </c>
      <c r="F109" s="17" t="s">
        <v>212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45" x14ac:dyDescent="0.2">
      <c r="C110" s="2"/>
      <c r="D110" s="47" t="s">
        <v>213</v>
      </c>
      <c r="E110" s="43" t="s">
        <v>214</v>
      </c>
      <c r="F110" s="17" t="s">
        <v>215</v>
      </c>
      <c r="G110" s="18">
        <f t="shared" si="0"/>
        <v>0</v>
      </c>
      <c r="H110" s="50">
        <f>H111+H112</f>
        <v>0</v>
      </c>
      <c r="I110" s="50">
        <f>I111+I112</f>
        <v>0</v>
      </c>
      <c r="J110" s="50">
        <f>J111+J112</f>
        <v>0</v>
      </c>
      <c r="K110" s="50">
        <f>K111+K112</f>
        <v>0</v>
      </c>
      <c r="L110" s="8"/>
      <c r="M110" s="19"/>
      <c r="P110" s="91"/>
    </row>
    <row r="111" spans="3:16" ht="12.75" x14ac:dyDescent="0.2">
      <c r="C111" s="2"/>
      <c r="D111" s="47" t="s">
        <v>216</v>
      </c>
      <c r="E111" s="51" t="s">
        <v>208</v>
      </c>
      <c r="F111" s="17" t="s">
        <v>217</v>
      </c>
      <c r="G111" s="18">
        <f t="shared" si="0"/>
        <v>0</v>
      </c>
      <c r="H111" s="48"/>
      <c r="I111" s="48"/>
      <c r="J111" s="48"/>
      <c r="K111" s="48"/>
      <c r="L111" s="8"/>
      <c r="M111" s="19"/>
      <c r="P111" s="91"/>
    </row>
    <row r="112" spans="3:16" ht="12.75" x14ac:dyDescent="0.2">
      <c r="C112" s="2"/>
      <c r="D112" s="47" t="s">
        <v>218</v>
      </c>
      <c r="E112" s="51" t="s">
        <v>211</v>
      </c>
      <c r="F112" s="17" t="s">
        <v>219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22.5" x14ac:dyDescent="0.2">
      <c r="C113" s="2"/>
      <c r="D113" s="47" t="s">
        <v>220</v>
      </c>
      <c r="E113" s="43" t="s">
        <v>221</v>
      </c>
      <c r="F113" s="17" t="s">
        <v>222</v>
      </c>
      <c r="G113" s="18">
        <f t="shared" si="0"/>
        <v>0</v>
      </c>
      <c r="H113" s="50">
        <f>H114+H115</f>
        <v>0</v>
      </c>
      <c r="I113" s="50">
        <f>I114+I115</f>
        <v>0</v>
      </c>
      <c r="J113" s="50">
        <f>J114+J115</f>
        <v>0</v>
      </c>
      <c r="K113" s="50">
        <f>K114+K115</f>
        <v>0</v>
      </c>
      <c r="L113" s="8"/>
      <c r="M113" s="19"/>
      <c r="P113" s="91"/>
    </row>
    <row r="114" spans="3:16" ht="12.75" x14ac:dyDescent="0.2">
      <c r="C114" s="2"/>
      <c r="D114" s="47" t="s">
        <v>223</v>
      </c>
      <c r="E114" s="51" t="s">
        <v>208</v>
      </c>
      <c r="F114" s="17" t="s">
        <v>224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225</v>
      </c>
      <c r="E115" s="51" t="s">
        <v>211</v>
      </c>
      <c r="F115" s="17" t="s">
        <v>226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22.5" x14ac:dyDescent="0.2">
      <c r="C116" s="2"/>
      <c r="D116" s="47" t="s">
        <v>227</v>
      </c>
      <c r="E116" s="43" t="s">
        <v>228</v>
      </c>
      <c r="F116" s="17" t="s">
        <v>229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12.75" x14ac:dyDescent="0.2">
      <c r="C117" s="2"/>
      <c r="D117" s="47" t="s">
        <v>230</v>
      </c>
      <c r="E117" s="43" t="s">
        <v>231</v>
      </c>
      <c r="F117" s="17" t="s">
        <v>232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45" x14ac:dyDescent="0.2">
      <c r="C118" s="2"/>
      <c r="D118" s="47" t="s">
        <v>233</v>
      </c>
      <c r="E118" s="43" t="s">
        <v>234</v>
      </c>
      <c r="F118" s="17" t="s">
        <v>235</v>
      </c>
      <c r="G118" s="18">
        <f t="shared" si="0"/>
        <v>0</v>
      </c>
      <c r="H118" s="48"/>
      <c r="I118" s="48"/>
      <c r="J118" s="48"/>
      <c r="K118" s="48"/>
      <c r="L118" s="8"/>
      <c r="M118" s="19"/>
      <c r="P118" s="91"/>
    </row>
    <row r="119" spans="3:16" ht="22.5" x14ac:dyDescent="0.2">
      <c r="C119" s="2"/>
      <c r="D119" s="47" t="s">
        <v>236</v>
      </c>
      <c r="E119" s="43" t="s">
        <v>237</v>
      </c>
      <c r="F119" s="17" t="s">
        <v>238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/>
    </row>
    <row r="120" spans="3:16" ht="12.75" x14ac:dyDescent="0.2">
      <c r="C120" s="2"/>
      <c r="D120" s="47" t="s">
        <v>239</v>
      </c>
      <c r="E120" s="20" t="s">
        <v>240</v>
      </c>
      <c r="F120" s="17" t="s">
        <v>241</v>
      </c>
      <c r="G120" s="18">
        <f t="shared" si="0"/>
        <v>0</v>
      </c>
      <c r="H120" s="49">
        <f>H123</f>
        <v>0</v>
      </c>
      <c r="I120" s="49">
        <f>I123</f>
        <v>0</v>
      </c>
      <c r="J120" s="49">
        <f>J123</f>
        <v>0</v>
      </c>
      <c r="K120" s="49">
        <f>K123</f>
        <v>0</v>
      </c>
      <c r="L120" s="8"/>
      <c r="M120" s="19"/>
      <c r="P120" s="91">
        <v>770</v>
      </c>
    </row>
    <row r="121" spans="3:16" ht="12.75" x14ac:dyDescent="0.2">
      <c r="C121" s="2"/>
      <c r="D121" s="47" t="s">
        <v>242</v>
      </c>
      <c r="E121" s="42" t="s">
        <v>184</v>
      </c>
      <c r="F121" s="17" t="s">
        <v>243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780</v>
      </c>
    </row>
    <row r="122" spans="3:16" ht="12.75" x14ac:dyDescent="0.2">
      <c r="C122" s="2"/>
      <c r="D122" s="47" t="s">
        <v>244</v>
      </c>
      <c r="E122" s="43" t="s">
        <v>245</v>
      </c>
      <c r="F122" s="17" t="s">
        <v>246</v>
      </c>
      <c r="G122" s="18">
        <f t="shared" si="0"/>
        <v>0</v>
      </c>
      <c r="H122" s="48"/>
      <c r="I122" s="48"/>
      <c r="J122" s="48"/>
      <c r="K122" s="48"/>
      <c r="L122" s="8"/>
      <c r="M122" s="19"/>
      <c r="P122" s="91"/>
    </row>
    <row r="123" spans="3:16" ht="12.75" x14ac:dyDescent="0.2">
      <c r="C123" s="2"/>
      <c r="D123" s="47" t="s">
        <v>247</v>
      </c>
      <c r="E123" s="42" t="s">
        <v>190</v>
      </c>
      <c r="F123" s="17" t="s">
        <v>248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>
        <v>790</v>
      </c>
    </row>
    <row r="124" spans="3:16" ht="22.5" x14ac:dyDescent="0.2">
      <c r="C124" s="2"/>
      <c r="D124" s="47" t="s">
        <v>249</v>
      </c>
      <c r="E124" s="40" t="s">
        <v>250</v>
      </c>
      <c r="F124" s="17" t="s">
        <v>251</v>
      </c>
      <c r="G124" s="18">
        <f t="shared" si="0"/>
        <v>6173.1440000000002</v>
      </c>
      <c r="H124" s="49">
        <f>SUM(H125:H126)</f>
        <v>6.8000000000000005E-2</v>
      </c>
      <c r="I124" s="49">
        <f>SUM(I125:I126)</f>
        <v>4019.319</v>
      </c>
      <c r="J124" s="49">
        <f>SUM(J125:J126)</f>
        <v>1327.4370000000001</v>
      </c>
      <c r="K124" s="49">
        <f>SUM(K125:K126)</f>
        <v>826.32</v>
      </c>
      <c r="L124" s="8"/>
      <c r="M124" s="19"/>
      <c r="P124" s="91"/>
    </row>
    <row r="125" spans="3:16" ht="12.75" x14ac:dyDescent="0.2">
      <c r="C125" s="2"/>
      <c r="D125" s="47" t="s">
        <v>252</v>
      </c>
      <c r="E125" s="20" t="s">
        <v>178</v>
      </c>
      <c r="F125" s="17" t="s">
        <v>253</v>
      </c>
      <c r="G125" s="18">
        <f t="shared" si="0"/>
        <v>0</v>
      </c>
      <c r="H125" s="48"/>
      <c r="I125" s="48"/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254</v>
      </c>
      <c r="E126" s="20" t="s">
        <v>181</v>
      </c>
      <c r="F126" s="17" t="s">
        <v>255</v>
      </c>
      <c r="G126" s="18">
        <f t="shared" si="0"/>
        <v>6173.1440000000002</v>
      </c>
      <c r="H126" s="49">
        <f>H128</f>
        <v>6.8000000000000005E-2</v>
      </c>
      <c r="I126" s="49">
        <f>I128</f>
        <v>4019.319</v>
      </c>
      <c r="J126" s="49">
        <f>J128</f>
        <v>1327.4370000000001</v>
      </c>
      <c r="K126" s="49">
        <f>K128</f>
        <v>826.32</v>
      </c>
      <c r="L126" s="8"/>
      <c r="M126" s="19"/>
      <c r="P126" s="91"/>
    </row>
    <row r="127" spans="3:16" ht="12.75" x14ac:dyDescent="0.2">
      <c r="C127" s="2"/>
      <c r="D127" s="47" t="s">
        <v>256</v>
      </c>
      <c r="E127" s="42" t="s">
        <v>257</v>
      </c>
      <c r="F127" s="17" t="s">
        <v>258</v>
      </c>
      <c r="G127" s="18">
        <f t="shared" si="0"/>
        <v>25.006</v>
      </c>
      <c r="H127" s="48"/>
      <c r="I127" s="48">
        <f>I94</f>
        <v>25.006</v>
      </c>
      <c r="J127" s="48"/>
      <c r="K127" s="48"/>
      <c r="L127" s="8"/>
      <c r="M127" s="19"/>
      <c r="P127" s="91"/>
    </row>
    <row r="128" spans="3:16" ht="12.75" x14ac:dyDescent="0.2">
      <c r="C128" s="2"/>
      <c r="D128" s="47" t="s">
        <v>259</v>
      </c>
      <c r="E128" s="42" t="s">
        <v>190</v>
      </c>
      <c r="F128" s="17" t="s">
        <v>260</v>
      </c>
      <c r="G128" s="18">
        <f t="shared" si="0"/>
        <v>6173.1440000000002</v>
      </c>
      <c r="H128" s="48">
        <f>H48</f>
        <v>6.8000000000000005E-2</v>
      </c>
      <c r="I128" s="48">
        <f>I34+99.695</f>
        <v>4019.319</v>
      </c>
      <c r="J128" s="48">
        <f>J34+1.739</f>
        <v>1327.4370000000001</v>
      </c>
      <c r="K128" s="48">
        <f>K34</f>
        <v>826.32</v>
      </c>
      <c r="L128" s="8"/>
      <c r="M128" s="19"/>
      <c r="P128" s="91"/>
    </row>
    <row r="129" spans="3:16" ht="12.75" x14ac:dyDescent="0.2">
      <c r="C129" s="2"/>
      <c r="D129" s="111" t="s">
        <v>261</v>
      </c>
      <c r="E129" s="112"/>
      <c r="F129" s="112"/>
      <c r="G129" s="112"/>
      <c r="H129" s="112"/>
      <c r="I129" s="112"/>
      <c r="J129" s="112"/>
      <c r="K129" s="113"/>
      <c r="L129" s="8"/>
      <c r="M129" s="19"/>
      <c r="P129" s="93"/>
    </row>
    <row r="130" spans="3:16" ht="22.5" x14ac:dyDescent="0.2">
      <c r="C130" s="2"/>
      <c r="D130" s="47" t="s">
        <v>262</v>
      </c>
      <c r="E130" s="16" t="s">
        <v>263</v>
      </c>
      <c r="F130" s="17" t="s">
        <v>264</v>
      </c>
      <c r="G130" s="18">
        <f t="shared" si="0"/>
        <v>0</v>
      </c>
      <c r="H130" s="49">
        <f>SUM( H131:H132)</f>
        <v>0</v>
      </c>
      <c r="I130" s="49">
        <f>SUM( I131:I132)</f>
        <v>0</v>
      </c>
      <c r="J130" s="49">
        <f>SUM( J131:J132)</f>
        <v>0</v>
      </c>
      <c r="K130" s="49">
        <f>SUM( K131:K132)</f>
        <v>0</v>
      </c>
      <c r="L130" s="8"/>
      <c r="M130" s="19"/>
      <c r="P130" s="91">
        <v>800</v>
      </c>
    </row>
    <row r="131" spans="3:16" ht="12.75" x14ac:dyDescent="0.2">
      <c r="C131" s="2"/>
      <c r="D131" s="47" t="s">
        <v>265</v>
      </c>
      <c r="E131" s="20" t="s">
        <v>178</v>
      </c>
      <c r="F131" s="17" t="s">
        <v>266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810</v>
      </c>
    </row>
    <row r="132" spans="3:16" ht="12.75" x14ac:dyDescent="0.2">
      <c r="C132" s="2"/>
      <c r="D132" s="47" t="s">
        <v>267</v>
      </c>
      <c r="E132" s="20" t="s">
        <v>181</v>
      </c>
      <c r="F132" s="17" t="s">
        <v>268</v>
      </c>
      <c r="G132" s="18">
        <f t="shared" si="0"/>
        <v>0</v>
      </c>
      <c r="H132" s="49">
        <f>H133+H135</f>
        <v>0</v>
      </c>
      <c r="I132" s="49">
        <f>I133+I135</f>
        <v>0</v>
      </c>
      <c r="J132" s="49">
        <f>J133+J135</f>
        <v>0</v>
      </c>
      <c r="K132" s="49">
        <f>K133+K135</f>
        <v>0</v>
      </c>
      <c r="L132" s="8"/>
      <c r="M132" s="19"/>
      <c r="P132" s="91">
        <v>820</v>
      </c>
    </row>
    <row r="133" spans="3:16" ht="12.75" x14ac:dyDescent="0.2">
      <c r="C133" s="2"/>
      <c r="D133" s="47" t="s">
        <v>269</v>
      </c>
      <c r="E133" s="42" t="s">
        <v>270</v>
      </c>
      <c r="F133" s="17" t="s">
        <v>271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830</v>
      </c>
    </row>
    <row r="134" spans="3:16" ht="12.75" x14ac:dyDescent="0.2">
      <c r="C134" s="2"/>
      <c r="D134" s="47" t="s">
        <v>272</v>
      </c>
      <c r="E134" s="43" t="s">
        <v>273</v>
      </c>
      <c r="F134" s="17" t="s">
        <v>274</v>
      </c>
      <c r="G134" s="18">
        <f t="shared" si="0"/>
        <v>0</v>
      </c>
      <c r="H134" s="48"/>
      <c r="I134" s="48"/>
      <c r="J134" s="48"/>
      <c r="K134" s="48"/>
      <c r="L134" s="8"/>
      <c r="M134" s="19"/>
      <c r="P134" s="93"/>
    </row>
    <row r="135" spans="3:16" ht="12.75" x14ac:dyDescent="0.2">
      <c r="C135" s="2"/>
      <c r="D135" s="47" t="s">
        <v>275</v>
      </c>
      <c r="E135" s="42" t="s">
        <v>276</v>
      </c>
      <c r="F135" s="17" t="s">
        <v>277</v>
      </c>
      <c r="G135" s="18">
        <f t="shared" si="0"/>
        <v>0</v>
      </c>
      <c r="H135" s="48"/>
      <c r="I135" s="48"/>
      <c r="J135" s="48"/>
      <c r="K135" s="48"/>
      <c r="L135" s="8"/>
      <c r="M135" s="19"/>
      <c r="P135" s="91">
        <v>840</v>
      </c>
    </row>
    <row r="136" spans="3:16" ht="12.75" x14ac:dyDescent="0.2">
      <c r="C136" s="2"/>
      <c r="D136" s="47" t="s">
        <v>19</v>
      </c>
      <c r="E136" s="16" t="s">
        <v>278</v>
      </c>
      <c r="F136" s="17" t="s">
        <v>279</v>
      </c>
      <c r="G136" s="18">
        <f t="shared" si="0"/>
        <v>0</v>
      </c>
      <c r="H136" s="50">
        <f>SUM( H137+H142)</f>
        <v>0</v>
      </c>
      <c r="I136" s="50">
        <f>SUM( I137+I142)</f>
        <v>0</v>
      </c>
      <c r="J136" s="50">
        <f>SUM( J137+J142)</f>
        <v>0</v>
      </c>
      <c r="K136" s="50">
        <f>SUM( K137+K142)</f>
        <v>0</v>
      </c>
      <c r="L136" s="52"/>
      <c r="M136" s="19"/>
      <c r="P136" s="91">
        <v>850</v>
      </c>
    </row>
    <row r="137" spans="3:16" ht="12.75" x14ac:dyDescent="0.2">
      <c r="C137" s="2"/>
      <c r="D137" s="47" t="s">
        <v>280</v>
      </c>
      <c r="E137" s="20" t="s">
        <v>178</v>
      </c>
      <c r="F137" s="17" t="s">
        <v>281</v>
      </c>
      <c r="G137" s="18">
        <f t="shared" ref="G137:G150" si="1">SUM(H137:K137)</f>
        <v>0</v>
      </c>
      <c r="H137" s="50">
        <f>SUM( H138:H139)</f>
        <v>0</v>
      </c>
      <c r="I137" s="50">
        <f>SUM( I138:I139)</f>
        <v>0</v>
      </c>
      <c r="J137" s="50">
        <f>SUM( J138:J139)</f>
        <v>0</v>
      </c>
      <c r="K137" s="50">
        <f>SUM( K138:K139)</f>
        <v>0</v>
      </c>
      <c r="L137" s="52"/>
      <c r="M137" s="19"/>
      <c r="P137" s="91">
        <v>860</v>
      </c>
    </row>
    <row r="138" spans="3:16" ht="12.75" x14ac:dyDescent="0.2">
      <c r="C138" s="2"/>
      <c r="D138" s="47" t="s">
        <v>282</v>
      </c>
      <c r="E138" s="42" t="s">
        <v>199</v>
      </c>
      <c r="F138" s="17" t="s">
        <v>283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284</v>
      </c>
      <c r="E139" s="42" t="s">
        <v>202</v>
      </c>
      <c r="F139" s="17" t="s">
        <v>285</v>
      </c>
      <c r="G139" s="18">
        <f t="shared" si="1"/>
        <v>0</v>
      </c>
      <c r="H139" s="50">
        <f>H140+H141</f>
        <v>0</v>
      </c>
      <c r="I139" s="50">
        <f>I140+I141</f>
        <v>0</v>
      </c>
      <c r="J139" s="50">
        <f>J140+J141</f>
        <v>0</v>
      </c>
      <c r="K139" s="50">
        <f>K140+K141</f>
        <v>0</v>
      </c>
      <c r="L139" s="52"/>
      <c r="M139" s="19"/>
      <c r="P139" s="91"/>
    </row>
    <row r="140" spans="3:16" ht="12.75" x14ac:dyDescent="0.2">
      <c r="C140" s="2"/>
      <c r="D140" s="47" t="s">
        <v>286</v>
      </c>
      <c r="E140" s="43" t="s">
        <v>208</v>
      </c>
      <c r="F140" s="17" t="s">
        <v>287</v>
      </c>
      <c r="G140" s="18">
        <f t="shared" si="1"/>
        <v>0</v>
      </c>
      <c r="H140" s="53"/>
      <c r="I140" s="53"/>
      <c r="J140" s="53"/>
      <c r="K140" s="53"/>
      <c r="L140" s="52"/>
      <c r="M140" s="19"/>
      <c r="P140" s="91"/>
    </row>
    <row r="141" spans="3:16" ht="12.75" x14ac:dyDescent="0.2">
      <c r="C141" s="2"/>
      <c r="D141" s="47" t="s">
        <v>288</v>
      </c>
      <c r="E141" s="43" t="s">
        <v>289</v>
      </c>
      <c r="F141" s="17" t="s">
        <v>290</v>
      </c>
      <c r="G141" s="18">
        <f t="shared" si="1"/>
        <v>0</v>
      </c>
      <c r="H141" s="53"/>
      <c r="I141" s="53"/>
      <c r="J141" s="53"/>
      <c r="K141" s="53"/>
      <c r="L141" s="52"/>
      <c r="M141" s="19"/>
      <c r="P141" s="91"/>
    </row>
    <row r="142" spans="3:16" ht="12.75" x14ac:dyDescent="0.2">
      <c r="C142" s="2"/>
      <c r="D142" s="47" t="s">
        <v>291</v>
      </c>
      <c r="E142" s="20" t="s">
        <v>240</v>
      </c>
      <c r="F142" s="17" t="s">
        <v>292</v>
      </c>
      <c r="G142" s="18">
        <f t="shared" si="1"/>
        <v>0</v>
      </c>
      <c r="H142" s="50">
        <f>H143+H145</f>
        <v>0</v>
      </c>
      <c r="I142" s="50">
        <f>I143+I145</f>
        <v>0</v>
      </c>
      <c r="J142" s="50">
        <f>J143+J145</f>
        <v>0</v>
      </c>
      <c r="K142" s="50">
        <f>K143+K145</f>
        <v>0</v>
      </c>
      <c r="L142" s="52"/>
      <c r="M142" s="19"/>
      <c r="P142" s="91">
        <v>870</v>
      </c>
    </row>
    <row r="143" spans="3:16" ht="12.75" x14ac:dyDescent="0.2">
      <c r="C143" s="2"/>
      <c r="D143" s="47" t="s">
        <v>293</v>
      </c>
      <c r="E143" s="42" t="s">
        <v>270</v>
      </c>
      <c r="F143" s="17" t="s">
        <v>294</v>
      </c>
      <c r="G143" s="18">
        <f t="shared" si="1"/>
        <v>0</v>
      </c>
      <c r="H143" s="48"/>
      <c r="I143" s="48"/>
      <c r="J143" s="48"/>
      <c r="K143" s="48"/>
      <c r="L143" s="52"/>
      <c r="M143" s="19"/>
      <c r="P143" s="91">
        <v>880</v>
      </c>
    </row>
    <row r="144" spans="3:16" ht="12.75" x14ac:dyDescent="0.2">
      <c r="C144" s="2"/>
      <c r="D144" s="47" t="s">
        <v>295</v>
      </c>
      <c r="E144" s="43" t="s">
        <v>273</v>
      </c>
      <c r="F144" s="17" t="s">
        <v>296</v>
      </c>
      <c r="G144" s="18">
        <f t="shared" si="1"/>
        <v>0</v>
      </c>
      <c r="H144" s="48"/>
      <c r="I144" s="48"/>
      <c r="J144" s="48"/>
      <c r="K144" s="48"/>
      <c r="L144" s="52"/>
      <c r="M144" s="19"/>
      <c r="P144" s="91"/>
    </row>
    <row r="145" spans="3:19" ht="12.75" x14ac:dyDescent="0.2">
      <c r="C145" s="2"/>
      <c r="D145" s="47" t="s">
        <v>297</v>
      </c>
      <c r="E145" s="42" t="s">
        <v>276</v>
      </c>
      <c r="F145" s="17" t="s">
        <v>298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>
        <v>890</v>
      </c>
    </row>
    <row r="146" spans="3:19" ht="22.5" x14ac:dyDescent="0.2">
      <c r="C146" s="2"/>
      <c r="D146" s="47" t="s">
        <v>299</v>
      </c>
      <c r="E146" s="16" t="s">
        <v>300</v>
      </c>
      <c r="F146" s="17" t="s">
        <v>301</v>
      </c>
      <c r="G146" s="18">
        <f t="shared" si="1"/>
        <v>3649.2849058319998</v>
      </c>
      <c r="H146" s="55">
        <f>SUM( H147:H148)</f>
        <v>7.2542400000000012E-3</v>
      </c>
      <c r="I146" s="55">
        <f>SUM( I147:I148)</f>
        <v>3419.5148548319999</v>
      </c>
      <c r="J146" s="55">
        <f>SUM( J147:J148)</f>
        <v>141.61097916000003</v>
      </c>
      <c r="K146" s="55">
        <f>SUM( K147:K148)</f>
        <v>88.151817600000001</v>
      </c>
      <c r="L146" s="52"/>
      <c r="M146" s="19"/>
      <c r="P146" s="91">
        <v>900</v>
      </c>
    </row>
    <row r="147" spans="3:19" ht="12.75" x14ac:dyDescent="0.2">
      <c r="C147" s="2"/>
      <c r="D147" s="47" t="s">
        <v>302</v>
      </c>
      <c r="E147" s="20" t="s">
        <v>178</v>
      </c>
      <c r="F147" s="17" t="s">
        <v>303</v>
      </c>
      <c r="G147" s="18">
        <f t="shared" si="1"/>
        <v>0</v>
      </c>
      <c r="H147" s="54"/>
      <c r="I147" s="54"/>
      <c r="J147" s="54"/>
      <c r="K147" s="54"/>
      <c r="L147" s="52"/>
      <c r="M147" s="19"/>
      <c r="P147" s="91"/>
    </row>
    <row r="148" spans="3:19" ht="12.75" x14ac:dyDescent="0.2">
      <c r="C148" s="2"/>
      <c r="D148" s="47" t="s">
        <v>304</v>
      </c>
      <c r="E148" s="20" t="s">
        <v>181</v>
      </c>
      <c r="F148" s="17" t="s">
        <v>305</v>
      </c>
      <c r="G148" s="18">
        <f t="shared" si="1"/>
        <v>3649.2849058319998</v>
      </c>
      <c r="H148" s="55">
        <f>H149+H150</f>
        <v>7.2542400000000012E-3</v>
      </c>
      <c r="I148" s="55">
        <f>I149+I150</f>
        <v>3419.5148548319999</v>
      </c>
      <c r="J148" s="55">
        <f>J149+J150</f>
        <v>141.61097916000003</v>
      </c>
      <c r="K148" s="55">
        <f>K149+K150</f>
        <v>88.151817600000001</v>
      </c>
      <c r="L148" s="52"/>
      <c r="M148" s="19"/>
      <c r="P148" s="91"/>
    </row>
    <row r="149" spans="3:19" ht="12.75" x14ac:dyDescent="0.2">
      <c r="C149" s="2"/>
      <c r="D149" s="47" t="s">
        <v>306</v>
      </c>
      <c r="E149" s="42" t="s">
        <v>307</v>
      </c>
      <c r="F149" s="17" t="s">
        <v>308</v>
      </c>
      <c r="G149" s="18">
        <f t="shared" si="1"/>
        <v>2990.7339039119997</v>
      </c>
      <c r="H149" s="54"/>
      <c r="I149" s="54">
        <f>I127*99667.21/1000*1.2</f>
        <v>2990.7339039119997</v>
      </c>
      <c r="J149" s="54"/>
      <c r="K149" s="54"/>
      <c r="L149" s="52"/>
      <c r="M149" s="19"/>
      <c r="P149" s="91" t="s">
        <v>338</v>
      </c>
    </row>
    <row r="150" spans="3:19" ht="12.75" x14ac:dyDescent="0.2">
      <c r="C150" s="2"/>
      <c r="D150" s="47" t="s">
        <v>309</v>
      </c>
      <c r="E150" s="42" t="s">
        <v>276</v>
      </c>
      <c r="F150" s="17" t="s">
        <v>310</v>
      </c>
      <c r="G150" s="18">
        <f t="shared" si="1"/>
        <v>658.55100192000009</v>
      </c>
      <c r="H150" s="54">
        <f>H128*88.9/1000*1.2</f>
        <v>7.2542400000000012E-3</v>
      </c>
      <c r="I150" s="54">
        <f>I128*88.9/1000*1.2</f>
        <v>428.78095092000007</v>
      </c>
      <c r="J150" s="54">
        <f>J128*88.9/1000*1.2</f>
        <v>141.61097916000003</v>
      </c>
      <c r="K150" s="54">
        <f>K128*88.9/1000*1.2</f>
        <v>88.151817600000001</v>
      </c>
      <c r="L150" s="52"/>
      <c r="M150" s="19"/>
      <c r="P150" s="91" t="s">
        <v>339</v>
      </c>
    </row>
    <row r="151" spans="3:19" x14ac:dyDescent="0.25">
      <c r="D151" s="6"/>
      <c r="E151" s="56"/>
      <c r="F151" s="56"/>
      <c r="G151" s="56"/>
      <c r="H151" s="56"/>
      <c r="I151" s="56"/>
      <c r="J151" s="56"/>
      <c r="K151" s="57"/>
      <c r="L151" s="57"/>
      <c r="M151" s="57"/>
      <c r="N151" s="57"/>
      <c r="O151" s="57"/>
      <c r="P151" s="57"/>
      <c r="Q151" s="57"/>
      <c r="R151" s="94"/>
      <c r="S151" s="94"/>
    </row>
    <row r="152" spans="3:19" ht="12.75" x14ac:dyDescent="0.2">
      <c r="E152" s="19" t="s">
        <v>311</v>
      </c>
      <c r="F152" s="103" t="str">
        <f>IF([5]Титульный!G45="","",[5]Титульный!G45)</f>
        <v>экономист</v>
      </c>
      <c r="G152" s="103"/>
      <c r="H152" s="58"/>
      <c r="I152" s="103" t="str">
        <f>IF([5]Титульный!G44="","",[5]Титульный!G44)</f>
        <v>Кривнева Е. В.</v>
      </c>
      <c r="J152" s="103"/>
      <c r="K152" s="103"/>
      <c r="L152" s="58"/>
      <c r="M152" s="59"/>
      <c r="N152" s="59"/>
      <c r="O152" s="61"/>
      <c r="P152" s="57"/>
      <c r="Q152" s="57"/>
      <c r="R152" s="94"/>
      <c r="S152" s="94"/>
    </row>
    <row r="153" spans="3:19" ht="12.75" x14ac:dyDescent="0.2">
      <c r="E153" s="60" t="s">
        <v>312</v>
      </c>
      <c r="F153" s="102" t="s">
        <v>313</v>
      </c>
      <c r="G153" s="102"/>
      <c r="H153" s="61"/>
      <c r="I153" s="102" t="s">
        <v>314</v>
      </c>
      <c r="J153" s="102"/>
      <c r="K153" s="102"/>
      <c r="L153" s="61"/>
      <c r="M153" s="102" t="s">
        <v>315</v>
      </c>
      <c r="N153" s="102"/>
      <c r="O153" s="19"/>
      <c r="P153" s="57"/>
      <c r="Q153" s="57"/>
      <c r="R153" s="94"/>
      <c r="S153" s="94"/>
    </row>
    <row r="154" spans="3:19" ht="12.75" x14ac:dyDescent="0.2">
      <c r="E154" s="60" t="s">
        <v>316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57"/>
      <c r="Q154" s="57"/>
      <c r="R154" s="94"/>
      <c r="S154" s="94"/>
    </row>
    <row r="155" spans="3:19" ht="12.75" x14ac:dyDescent="0.2">
      <c r="E155" s="60" t="s">
        <v>317</v>
      </c>
      <c r="F155" s="103" t="str">
        <f>IF([5]Титульный!G46="","",[5]Титульный!G46)</f>
        <v>(861) 258-50-71</v>
      </c>
      <c r="G155" s="103"/>
      <c r="H155" s="103"/>
      <c r="I155" s="19"/>
      <c r="J155" s="60" t="s">
        <v>318</v>
      </c>
      <c r="K155" s="62"/>
      <c r="L155" s="19"/>
      <c r="M155" s="19"/>
      <c r="N155" s="19"/>
      <c r="O155" s="19"/>
      <c r="P155" s="57"/>
      <c r="Q155" s="57"/>
      <c r="R155" s="94"/>
      <c r="S155" s="94"/>
    </row>
    <row r="156" spans="3:19" ht="12.75" x14ac:dyDescent="0.2">
      <c r="E156" s="19" t="s">
        <v>319</v>
      </c>
      <c r="F156" s="104" t="s">
        <v>320</v>
      </c>
      <c r="G156" s="104"/>
      <c r="H156" s="104"/>
      <c r="I156" s="19"/>
      <c r="J156" s="63" t="s">
        <v>321</v>
      </c>
      <c r="K156" s="63"/>
      <c r="L156" s="19"/>
      <c r="M156" s="19"/>
      <c r="N156" s="19"/>
      <c r="O156" s="19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94"/>
      <c r="S180" s="94"/>
    </row>
    <row r="181" spans="5:19" x14ac:dyDescent="0.25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5:19" x14ac:dyDescent="0.25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5:19" x14ac:dyDescent="0.25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</sheetData>
  <mergeCells count="18">
    <mergeCell ref="F153:G153"/>
    <mergeCell ref="I153:K153"/>
    <mergeCell ref="M153:N153"/>
    <mergeCell ref="F155:H155"/>
    <mergeCell ref="F156:H156"/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65 E81 E19 E58"/>
    <dataValidation type="decimal" allowBlank="1" showErrorMessage="1" errorTitle="Ошибка" error="Допускается ввод только действительных чисел!" sqref="G24:K26 G93:K95 G67:K81 G15:K19 G83:K91 G97:K128 G63:K65 G44:K52 G28:K42 G130:K150 G60:K61 G21:K22 G54:K58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85"/>
  <sheetViews>
    <sheetView topLeftCell="C127" workbookViewId="0">
      <selection activeCell="K151" sqref="K151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9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81" hidden="1" x14ac:dyDescent="0.25">
      <c r="S1" s="86"/>
      <c r="T1" s="86"/>
      <c r="U1" s="86"/>
      <c r="V1" s="86"/>
      <c r="Y1" s="86"/>
      <c r="AN1" s="86"/>
      <c r="AO1" s="86"/>
      <c r="AP1" s="86"/>
      <c r="BC1" s="86"/>
      <c r="BF1" s="86"/>
      <c r="BI1" s="86"/>
      <c r="BM1" s="86"/>
      <c r="BX1" s="86"/>
      <c r="BY1" s="86"/>
      <c r="CC1" s="86"/>
    </row>
    <row r="2" spans="1:81" hidden="1" x14ac:dyDescent="0.25"/>
    <row r="3" spans="1:81" hidden="1" x14ac:dyDescent="0.25"/>
    <row r="4" spans="1:81" hidden="1" x14ac:dyDescent="0.25">
      <c r="A4" s="87"/>
      <c r="F4" s="88"/>
      <c r="G4" s="88"/>
      <c r="H4" s="88"/>
      <c r="I4" s="88"/>
      <c r="J4" s="88"/>
      <c r="K4" s="88"/>
      <c r="M4" s="88"/>
      <c r="N4" s="88"/>
      <c r="O4" s="88"/>
      <c r="P4" s="88"/>
      <c r="Q4" s="88"/>
    </row>
    <row r="5" spans="1:81" hidden="1" x14ac:dyDescent="0.25">
      <c r="A5" s="89"/>
      <c r="F5" s="1" t="s">
        <v>325</v>
      </c>
      <c r="G5" s="1" t="s">
        <v>326</v>
      </c>
      <c r="H5" s="1" t="s">
        <v>327</v>
      </c>
      <c r="I5" s="1" t="s">
        <v>328</v>
      </c>
      <c r="J5" s="1" t="s">
        <v>329</v>
      </c>
      <c r="K5" s="1" t="s">
        <v>330</v>
      </c>
      <c r="L5" s="1" t="s">
        <v>331</v>
      </c>
      <c r="M5" s="1" t="s">
        <v>332</v>
      </c>
      <c r="N5" s="1" t="s">
        <v>332</v>
      </c>
      <c r="O5" s="1" t="s">
        <v>333</v>
      </c>
      <c r="P5" s="1" t="s">
        <v>334</v>
      </c>
      <c r="Q5" s="1" t="s">
        <v>335</v>
      </c>
    </row>
    <row r="6" spans="1:81" hidden="1" x14ac:dyDescent="0.25">
      <c r="A6" s="89"/>
    </row>
    <row r="7" spans="1:81" ht="12" customHeight="1" x14ac:dyDescent="0.25">
      <c r="A7" s="89"/>
      <c r="D7" s="2"/>
      <c r="E7" s="2"/>
      <c r="F7" s="2"/>
      <c r="G7" s="2"/>
      <c r="H7" s="2"/>
      <c r="I7" s="2"/>
      <c r="J7" s="2"/>
      <c r="K7" s="3"/>
      <c r="Q7" s="90"/>
    </row>
    <row r="8" spans="1:81" ht="22.5" customHeight="1" x14ac:dyDescent="0.25">
      <c r="A8" s="89"/>
      <c r="D8" s="105" t="s">
        <v>0</v>
      </c>
      <c r="E8" s="10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81" x14ac:dyDescent="0.25">
      <c r="A9" s="89"/>
      <c r="D9" s="5" t="str">
        <f>IF(org="","Не определено",org)</f>
        <v>ООО "КВЭП"</v>
      </c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81" ht="12" customHeight="1" x14ac:dyDescent="0.25">
      <c r="D10" s="6"/>
      <c r="E10" s="6"/>
      <c r="F10" s="2"/>
      <c r="G10" s="2"/>
      <c r="H10" s="2"/>
      <c r="I10" s="2"/>
      <c r="K10" s="7" t="s">
        <v>1</v>
      </c>
    </row>
    <row r="11" spans="1:81" ht="15" customHeight="1" x14ac:dyDescent="0.25">
      <c r="C11" s="2"/>
      <c r="D11" s="114" t="s">
        <v>2</v>
      </c>
      <c r="E11" s="116" t="s">
        <v>3</v>
      </c>
      <c r="F11" s="116" t="s">
        <v>4</v>
      </c>
      <c r="G11" s="116" t="s">
        <v>5</v>
      </c>
      <c r="H11" s="116" t="s">
        <v>6</v>
      </c>
      <c r="I11" s="116"/>
      <c r="J11" s="116"/>
      <c r="K11" s="118"/>
      <c r="L11" s="8"/>
    </row>
    <row r="12" spans="1:81" ht="15" customHeight="1" x14ac:dyDescent="0.25">
      <c r="C12" s="2"/>
      <c r="D12" s="115"/>
      <c r="E12" s="117"/>
      <c r="F12" s="117"/>
      <c r="G12" s="117"/>
      <c r="H12" s="85" t="s">
        <v>7</v>
      </c>
      <c r="I12" s="85" t="s">
        <v>8</v>
      </c>
      <c r="J12" s="85" t="s">
        <v>9</v>
      </c>
      <c r="K12" s="10" t="s">
        <v>10</v>
      </c>
      <c r="L12" s="8"/>
    </row>
    <row r="13" spans="1:81" ht="12" customHeight="1" x14ac:dyDescent="0.25"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>
        <v>6</v>
      </c>
      <c r="K13" s="11">
        <v>7</v>
      </c>
    </row>
    <row r="14" spans="1:81" s="14" customFormat="1" ht="15" customHeight="1" x14ac:dyDescent="0.25">
      <c r="C14" s="12"/>
      <c r="D14" s="111" t="s">
        <v>11</v>
      </c>
      <c r="E14" s="112"/>
      <c r="F14" s="112"/>
      <c r="G14" s="112"/>
      <c r="H14" s="112"/>
      <c r="I14" s="112"/>
      <c r="J14" s="112"/>
      <c r="K14" s="113"/>
      <c r="L14" s="13"/>
    </row>
    <row r="15" spans="1:81" s="14" customFormat="1" ht="15" customHeight="1" x14ac:dyDescent="0.2">
      <c r="C15" s="12"/>
      <c r="D15" s="15" t="s">
        <v>12</v>
      </c>
      <c r="E15" s="16" t="s">
        <v>13</v>
      </c>
      <c r="F15" s="17">
        <v>10</v>
      </c>
      <c r="G15" s="18">
        <f>SUM(H15:K15)</f>
        <v>5219.8530000000001</v>
      </c>
      <c r="H15" s="18">
        <f>H16+H17+H21+H24</f>
        <v>790.56299999999999</v>
      </c>
      <c r="I15" s="18">
        <f>I16+I17+I21+I24</f>
        <v>4188.1180000000004</v>
      </c>
      <c r="J15" s="18">
        <f>J16+J17+J21+J24</f>
        <v>241.172</v>
      </c>
      <c r="K15" s="18">
        <f>K16+K17+K21+K24</f>
        <v>0</v>
      </c>
      <c r="L15" s="13"/>
      <c r="M15" s="19"/>
      <c r="P15" s="91">
        <v>10</v>
      </c>
    </row>
    <row r="16" spans="1:81" s="14" customFormat="1" ht="15" customHeight="1" x14ac:dyDescent="0.2">
      <c r="C16" s="12"/>
      <c r="D16" s="15" t="s">
        <v>14</v>
      </c>
      <c r="E16" s="20" t="s">
        <v>15</v>
      </c>
      <c r="F16" s="17">
        <v>20</v>
      </c>
      <c r="G16" s="18">
        <f t="shared" ref="G16:G136" si="0">SUM(H16:K16)</f>
        <v>0</v>
      </c>
      <c r="H16" s="21"/>
      <c r="I16" s="21"/>
      <c r="J16" s="21"/>
      <c r="K16" s="21"/>
      <c r="L16" s="13"/>
      <c r="M16" s="19"/>
      <c r="P16" s="91">
        <v>20</v>
      </c>
    </row>
    <row r="17" spans="3:16" s="14" customFormat="1" ht="12.75" x14ac:dyDescent="0.2">
      <c r="C17" s="12"/>
      <c r="D17" s="15" t="s">
        <v>16</v>
      </c>
      <c r="E17" s="20" t="s">
        <v>17</v>
      </c>
      <c r="F17" s="17">
        <v>30</v>
      </c>
      <c r="G17" s="18">
        <f t="shared" si="0"/>
        <v>0.191</v>
      </c>
      <c r="H17" s="18">
        <f>SUM(H18:H20)</f>
        <v>0</v>
      </c>
      <c r="I17" s="18">
        <f>SUM(I18:I20)</f>
        <v>0</v>
      </c>
      <c r="J17" s="18">
        <f>SUM(J18:J20)</f>
        <v>0.191</v>
      </c>
      <c r="K17" s="18">
        <f>SUM(K18:K20)</f>
        <v>0</v>
      </c>
      <c r="L17" s="13"/>
      <c r="M17" s="19"/>
      <c r="P17" s="91">
        <v>30</v>
      </c>
    </row>
    <row r="18" spans="3:16" s="14" customFormat="1" ht="12.75" x14ac:dyDescent="0.2">
      <c r="C18" s="12"/>
      <c r="D18" s="22" t="s">
        <v>18</v>
      </c>
      <c r="E18" s="23"/>
      <c r="F18" s="24" t="s">
        <v>19</v>
      </c>
      <c r="G18" s="25"/>
      <c r="H18" s="25"/>
      <c r="I18" s="25"/>
      <c r="J18" s="25"/>
      <c r="K18" s="25"/>
      <c r="L18" s="13"/>
      <c r="M18" s="19"/>
      <c r="P18" s="91"/>
    </row>
    <row r="19" spans="3:16" s="14" customFormat="1" ht="15" x14ac:dyDescent="0.25">
      <c r="C19" s="30" t="s">
        <v>29</v>
      </c>
      <c r="D19" s="31" t="s">
        <v>340</v>
      </c>
      <c r="E19" s="32" t="s">
        <v>341</v>
      </c>
      <c r="F19" s="33">
        <v>31</v>
      </c>
      <c r="G19" s="34">
        <f>SUM(H19:K19)</f>
        <v>0.191</v>
      </c>
      <c r="H19" s="35"/>
      <c r="I19" s="35"/>
      <c r="J19" s="35">
        <v>0.191</v>
      </c>
      <c r="K19" s="36"/>
      <c r="L19" s="13"/>
      <c r="M19" s="37" t="s">
        <v>342</v>
      </c>
      <c r="N19" s="38" t="s">
        <v>343</v>
      </c>
      <c r="O19" s="38" t="s">
        <v>344</v>
      </c>
    </row>
    <row r="20" spans="3:16" s="14" customFormat="1" ht="12.75" x14ac:dyDescent="0.2">
      <c r="C20" s="12"/>
      <c r="D20" s="26"/>
      <c r="E20" s="27" t="s">
        <v>20</v>
      </c>
      <c r="F20" s="28"/>
      <c r="G20" s="28"/>
      <c r="H20" s="28"/>
      <c r="I20" s="28"/>
      <c r="J20" s="28"/>
      <c r="K20" s="29"/>
      <c r="L20" s="13"/>
      <c r="M20" s="19"/>
      <c r="P20" s="92"/>
    </row>
    <row r="21" spans="3:16" s="14" customFormat="1" ht="12.75" x14ac:dyDescent="0.2">
      <c r="C21" s="12"/>
      <c r="D21" s="15" t="s">
        <v>21</v>
      </c>
      <c r="E21" s="20" t="s">
        <v>22</v>
      </c>
      <c r="F21" s="17" t="s">
        <v>23</v>
      </c>
      <c r="G21" s="18">
        <f t="shared" si="0"/>
        <v>0</v>
      </c>
      <c r="H21" s="18">
        <f>SUM(H22:H23)</f>
        <v>0</v>
      </c>
      <c r="I21" s="18">
        <f>SUM(I22:I23)</f>
        <v>0</v>
      </c>
      <c r="J21" s="18">
        <f>SUM(J22:J23)</f>
        <v>0</v>
      </c>
      <c r="K21" s="18">
        <f>SUM(K22:K23)</f>
        <v>0</v>
      </c>
      <c r="L21" s="13"/>
      <c r="M21" s="19"/>
      <c r="P21" s="92"/>
    </row>
    <row r="22" spans="3:16" s="14" customFormat="1" ht="12.75" x14ac:dyDescent="0.2">
      <c r="C22" s="12"/>
      <c r="D22" s="22" t="s">
        <v>24</v>
      </c>
      <c r="E22" s="23"/>
      <c r="F22" s="24" t="s">
        <v>23</v>
      </c>
      <c r="G22" s="25"/>
      <c r="H22" s="25"/>
      <c r="I22" s="25"/>
      <c r="J22" s="25"/>
      <c r="K22" s="25"/>
      <c r="L22" s="13"/>
      <c r="M22" s="19"/>
      <c r="P22" s="91"/>
    </row>
    <row r="23" spans="3:16" s="14" customFormat="1" ht="12.75" x14ac:dyDescent="0.2">
      <c r="C23" s="12"/>
      <c r="D23" s="26"/>
      <c r="E23" s="27" t="s">
        <v>20</v>
      </c>
      <c r="F23" s="28"/>
      <c r="G23" s="28"/>
      <c r="H23" s="28"/>
      <c r="I23" s="28"/>
      <c r="J23" s="28"/>
      <c r="K23" s="29"/>
      <c r="L23" s="13"/>
      <c r="M23" s="19"/>
      <c r="P23" s="92"/>
    </row>
    <row r="24" spans="3:16" s="14" customFormat="1" ht="12.75" x14ac:dyDescent="0.2">
      <c r="C24" s="12"/>
      <c r="D24" s="15" t="s">
        <v>25</v>
      </c>
      <c r="E24" s="20" t="s">
        <v>26</v>
      </c>
      <c r="F24" s="17" t="s">
        <v>27</v>
      </c>
      <c r="G24" s="18">
        <f t="shared" si="0"/>
        <v>5219.6620000000003</v>
      </c>
      <c r="H24" s="18">
        <f>SUM(H25:H27)</f>
        <v>790.56299999999999</v>
      </c>
      <c r="I24" s="18">
        <f>SUM(I25:I27)</f>
        <v>4188.1180000000004</v>
      </c>
      <c r="J24" s="18">
        <f>SUM(J25:J27)</f>
        <v>240.98099999999999</v>
      </c>
      <c r="K24" s="18">
        <f>SUM(K25:K27)</f>
        <v>0</v>
      </c>
      <c r="L24" s="13"/>
      <c r="M24" s="19"/>
      <c r="P24" s="91">
        <v>40</v>
      </c>
    </row>
    <row r="25" spans="3:16" s="14" customFormat="1" ht="12.75" x14ac:dyDescent="0.2">
      <c r="C25" s="12"/>
      <c r="D25" s="22" t="s">
        <v>28</v>
      </c>
      <c r="E25" s="23"/>
      <c r="F25" s="24" t="s">
        <v>27</v>
      </c>
      <c r="G25" s="25"/>
      <c r="H25" s="25"/>
      <c r="I25" s="25"/>
      <c r="J25" s="25"/>
      <c r="K25" s="25"/>
      <c r="L25" s="13"/>
      <c r="M25" s="19"/>
      <c r="P25" s="91"/>
    </row>
    <row r="26" spans="3:16" s="14" customFormat="1" ht="15" x14ac:dyDescent="0.25">
      <c r="C26" s="30" t="s">
        <v>29</v>
      </c>
      <c r="D26" s="31" t="s">
        <v>30</v>
      </c>
      <c r="E26" s="32" t="s">
        <v>31</v>
      </c>
      <c r="F26" s="33">
        <v>431</v>
      </c>
      <c r="G26" s="34">
        <f>SUM(H26:K26)</f>
        <v>5219.6620000000003</v>
      </c>
      <c r="H26" s="35">
        <v>790.56299999999999</v>
      </c>
      <c r="I26" s="35">
        <v>4188.1180000000004</v>
      </c>
      <c r="J26" s="35">
        <v>240.98099999999999</v>
      </c>
      <c r="K26" s="36"/>
      <c r="L26" s="13"/>
      <c r="M26" s="37" t="s">
        <v>32</v>
      </c>
      <c r="N26" s="38" t="s">
        <v>33</v>
      </c>
      <c r="O26" s="38" t="s">
        <v>336</v>
      </c>
    </row>
    <row r="27" spans="3:16" s="14" customFormat="1" ht="12.75" x14ac:dyDescent="0.2">
      <c r="C27" s="12"/>
      <c r="D27" s="26"/>
      <c r="E27" s="27" t="s">
        <v>20</v>
      </c>
      <c r="F27" s="28"/>
      <c r="G27" s="28"/>
      <c r="H27" s="28"/>
      <c r="I27" s="28"/>
      <c r="J27" s="28"/>
      <c r="K27" s="29"/>
      <c r="L27" s="13"/>
      <c r="M27" s="19"/>
      <c r="P27" s="91"/>
    </row>
    <row r="28" spans="3:16" s="14" customFormat="1" ht="12.75" x14ac:dyDescent="0.2">
      <c r="C28" s="12"/>
      <c r="D28" s="15" t="s">
        <v>34</v>
      </c>
      <c r="E28" s="16" t="s">
        <v>35</v>
      </c>
      <c r="F28" s="17" t="s">
        <v>36</v>
      </c>
      <c r="G28" s="18">
        <f t="shared" si="0"/>
        <v>2683.3210000000008</v>
      </c>
      <c r="H28" s="18">
        <f>H30+H31+H32</f>
        <v>0</v>
      </c>
      <c r="I28" s="18">
        <f>I29+I31+I32</f>
        <v>0</v>
      </c>
      <c r="J28" s="18">
        <f>J29+J30+J32</f>
        <v>1834.2630000000004</v>
      </c>
      <c r="K28" s="18">
        <f>K29+K30+K31</f>
        <v>849.05800000000022</v>
      </c>
      <c r="L28" s="13"/>
      <c r="M28" s="19"/>
      <c r="P28" s="91">
        <v>50</v>
      </c>
    </row>
    <row r="29" spans="3:16" s="14" customFormat="1" ht="12.75" x14ac:dyDescent="0.2">
      <c r="C29" s="12"/>
      <c r="D29" s="15" t="s">
        <v>37</v>
      </c>
      <c r="E29" s="20" t="s">
        <v>7</v>
      </c>
      <c r="F29" s="17" t="s">
        <v>38</v>
      </c>
      <c r="G29" s="18">
        <f t="shared" si="0"/>
        <v>788.80399999999997</v>
      </c>
      <c r="H29" s="39"/>
      <c r="I29" s="21"/>
      <c r="J29" s="21">
        <f>H45</f>
        <v>788.80399999999997</v>
      </c>
      <c r="K29" s="21"/>
      <c r="L29" s="13"/>
      <c r="M29" s="19"/>
      <c r="P29" s="91">
        <v>60</v>
      </c>
    </row>
    <row r="30" spans="3:16" s="14" customFormat="1" ht="12.75" x14ac:dyDescent="0.2">
      <c r="C30" s="12"/>
      <c r="D30" s="15" t="s">
        <v>39</v>
      </c>
      <c r="E30" s="20" t="s">
        <v>8</v>
      </c>
      <c r="F30" s="17" t="s">
        <v>40</v>
      </c>
      <c r="G30" s="18">
        <f t="shared" si="0"/>
        <v>1045.4590000000005</v>
      </c>
      <c r="H30" s="21"/>
      <c r="I30" s="39"/>
      <c r="J30" s="21">
        <f>I26-I34-I48</f>
        <v>1045.4590000000005</v>
      </c>
      <c r="K30" s="21"/>
      <c r="L30" s="13"/>
      <c r="M30" s="19"/>
      <c r="P30" s="91">
        <v>70</v>
      </c>
    </row>
    <row r="31" spans="3:16" s="14" customFormat="1" ht="12.75" x14ac:dyDescent="0.2">
      <c r="C31" s="12"/>
      <c r="D31" s="15" t="s">
        <v>41</v>
      </c>
      <c r="E31" s="20" t="s">
        <v>9</v>
      </c>
      <c r="F31" s="17" t="s">
        <v>42</v>
      </c>
      <c r="G31" s="18">
        <f t="shared" si="0"/>
        <v>849.05800000000022</v>
      </c>
      <c r="H31" s="21"/>
      <c r="I31" s="21"/>
      <c r="J31" s="39"/>
      <c r="K31" s="21">
        <f>J24+J28+J17-J48-J34</f>
        <v>849.05800000000022</v>
      </c>
      <c r="L31" s="13"/>
      <c r="M31" s="19"/>
      <c r="P31" s="91">
        <v>80</v>
      </c>
    </row>
    <row r="32" spans="3:16" s="14" customFormat="1" ht="12.75" x14ac:dyDescent="0.2">
      <c r="C32" s="12"/>
      <c r="D32" s="15" t="s">
        <v>43</v>
      </c>
      <c r="E32" s="20" t="s">
        <v>44</v>
      </c>
      <c r="F32" s="17" t="s">
        <v>45</v>
      </c>
      <c r="G32" s="18">
        <f t="shared" si="0"/>
        <v>0</v>
      </c>
      <c r="H32" s="21"/>
      <c r="I32" s="21"/>
      <c r="J32" s="21"/>
      <c r="K32" s="39"/>
      <c r="L32" s="13"/>
      <c r="M32" s="19"/>
      <c r="P32" s="91">
        <v>90</v>
      </c>
    </row>
    <row r="33" spans="3:16" s="14" customFormat="1" ht="12.75" x14ac:dyDescent="0.2">
      <c r="C33" s="12"/>
      <c r="D33" s="15" t="s">
        <v>46</v>
      </c>
      <c r="E33" s="40" t="s">
        <v>47</v>
      </c>
      <c r="F33" s="17" t="s">
        <v>48</v>
      </c>
      <c r="G33" s="18">
        <f t="shared" si="0"/>
        <v>0</v>
      </c>
      <c r="H33" s="21"/>
      <c r="I33" s="21"/>
      <c r="J33" s="21"/>
      <c r="K33" s="21"/>
      <c r="L33" s="13"/>
      <c r="M33" s="19"/>
      <c r="P33" s="91"/>
    </row>
    <row r="34" spans="3:16" s="14" customFormat="1" ht="12.75" x14ac:dyDescent="0.2">
      <c r="C34" s="12"/>
      <c r="D34" s="15" t="s">
        <v>49</v>
      </c>
      <c r="E34" s="16" t="s">
        <v>50</v>
      </c>
      <c r="F34" s="41" t="s">
        <v>51</v>
      </c>
      <c r="G34" s="18">
        <f t="shared" si="0"/>
        <v>5141.4120000000003</v>
      </c>
      <c r="H34" s="18">
        <f>H35+H37+H40+H44</f>
        <v>0</v>
      </c>
      <c r="I34" s="18">
        <f>I35+I37+I40+I44</f>
        <v>3114.3449999999998</v>
      </c>
      <c r="J34" s="18">
        <f>J35+J37+J40+J44</f>
        <v>1201.615</v>
      </c>
      <c r="K34" s="18">
        <f>K35+K37+K40+K44</f>
        <v>825.452</v>
      </c>
      <c r="L34" s="13"/>
      <c r="M34" s="19"/>
      <c r="P34" s="91">
        <v>100</v>
      </c>
    </row>
    <row r="35" spans="3:16" s="14" customFormat="1" ht="22.5" x14ac:dyDescent="0.2">
      <c r="C35" s="12"/>
      <c r="D35" s="15" t="s">
        <v>52</v>
      </c>
      <c r="E35" s="20" t="s">
        <v>53</v>
      </c>
      <c r="F35" s="17" t="s">
        <v>54</v>
      </c>
      <c r="G35" s="18">
        <f t="shared" si="0"/>
        <v>0</v>
      </c>
      <c r="H35" s="21"/>
      <c r="I35" s="21"/>
      <c r="J35" s="21"/>
      <c r="K35" s="21"/>
      <c r="L35" s="13"/>
      <c r="M35" s="19"/>
      <c r="P35" s="91"/>
    </row>
    <row r="36" spans="3:16" s="14" customFormat="1" ht="12.75" x14ac:dyDescent="0.2">
      <c r="C36" s="12"/>
      <c r="D36" s="15" t="s">
        <v>55</v>
      </c>
      <c r="E36" s="42" t="s">
        <v>56</v>
      </c>
      <c r="F36" s="17" t="s">
        <v>57</v>
      </c>
      <c r="G36" s="18">
        <f t="shared" si="0"/>
        <v>0</v>
      </c>
      <c r="H36" s="21"/>
      <c r="I36" s="21"/>
      <c r="J36" s="21"/>
      <c r="K36" s="21"/>
      <c r="L36" s="13"/>
      <c r="M36" s="19"/>
      <c r="P36" s="91"/>
    </row>
    <row r="37" spans="3:16" s="14" customFormat="1" ht="12.75" x14ac:dyDescent="0.2">
      <c r="C37" s="12"/>
      <c r="D37" s="15" t="s">
        <v>58</v>
      </c>
      <c r="E37" s="20" t="s">
        <v>59</v>
      </c>
      <c r="F37" s="17" t="s">
        <v>60</v>
      </c>
      <c r="G37" s="18">
        <f t="shared" si="0"/>
        <v>2782.2189999999996</v>
      </c>
      <c r="H37" s="21">
        <v>0</v>
      </c>
      <c r="I37" s="21">
        <f>3114.345-I42</f>
        <v>755.15199999999959</v>
      </c>
      <c r="J37" s="21">
        <v>1201.615</v>
      </c>
      <c r="K37" s="21">
        <v>825.452</v>
      </c>
      <c r="L37" s="13"/>
      <c r="M37" s="19"/>
      <c r="P37" s="91"/>
    </row>
    <row r="38" spans="3:16" s="14" customFormat="1" ht="12.75" x14ac:dyDescent="0.2">
      <c r="C38" s="12"/>
      <c r="D38" s="15" t="s">
        <v>61</v>
      </c>
      <c r="E38" s="42" t="s">
        <v>62</v>
      </c>
      <c r="F38" s="17" t="s">
        <v>63</v>
      </c>
      <c r="G38" s="18">
        <f t="shared" si="0"/>
        <v>0</v>
      </c>
      <c r="H38" s="21"/>
      <c r="I38" s="21"/>
      <c r="J38" s="21"/>
      <c r="K38" s="21"/>
      <c r="L38" s="13"/>
      <c r="M38" s="19"/>
      <c r="P38" s="91"/>
    </row>
    <row r="39" spans="3:16" s="14" customFormat="1" ht="12.75" x14ac:dyDescent="0.2">
      <c r="C39" s="12"/>
      <c r="D39" s="15" t="s">
        <v>64</v>
      </c>
      <c r="E39" s="43" t="s">
        <v>56</v>
      </c>
      <c r="F39" s="17" t="s">
        <v>65</v>
      </c>
      <c r="G39" s="18">
        <f t="shared" si="0"/>
        <v>0</v>
      </c>
      <c r="H39" s="21"/>
      <c r="I39" s="21"/>
      <c r="J39" s="21"/>
      <c r="K39" s="21"/>
      <c r="L39" s="13"/>
      <c r="M39" s="19"/>
      <c r="P39" s="91"/>
    </row>
    <row r="40" spans="3:16" s="14" customFormat="1" ht="12.75" x14ac:dyDescent="0.2">
      <c r="C40" s="12"/>
      <c r="D40" s="15" t="s">
        <v>66</v>
      </c>
      <c r="E40" s="20" t="s">
        <v>67</v>
      </c>
      <c r="F40" s="17" t="s">
        <v>68</v>
      </c>
      <c r="G40" s="18">
        <f t="shared" si="0"/>
        <v>2359.1930000000002</v>
      </c>
      <c r="H40" s="18">
        <f>SUM(H41:H43)</f>
        <v>0</v>
      </c>
      <c r="I40" s="18">
        <f>SUM(I41:I43)</f>
        <v>2359.1930000000002</v>
      </c>
      <c r="J40" s="18">
        <f>SUM(J41:J43)</f>
        <v>0</v>
      </c>
      <c r="K40" s="18">
        <f>SUM(K41:K43)</f>
        <v>0</v>
      </c>
      <c r="L40" s="13"/>
      <c r="M40" s="19"/>
      <c r="P40" s="91"/>
    </row>
    <row r="41" spans="3:16" s="14" customFormat="1" ht="12.75" x14ac:dyDescent="0.2">
      <c r="C41" s="12"/>
      <c r="D41" s="22" t="s">
        <v>69</v>
      </c>
      <c r="E41" s="23"/>
      <c r="F41" s="24" t="s">
        <v>68</v>
      </c>
      <c r="G41" s="25"/>
      <c r="H41" s="25"/>
      <c r="I41" s="25"/>
      <c r="J41" s="25"/>
      <c r="K41" s="25"/>
      <c r="L41" s="13"/>
      <c r="M41" s="19"/>
      <c r="P41" s="91"/>
    </row>
    <row r="42" spans="3:16" s="14" customFormat="1" ht="15" x14ac:dyDescent="0.25">
      <c r="C42" s="30" t="s">
        <v>29</v>
      </c>
      <c r="D42" s="31" t="s">
        <v>70</v>
      </c>
      <c r="E42" s="32" t="s">
        <v>71</v>
      </c>
      <c r="F42" s="33">
        <v>751</v>
      </c>
      <c r="G42" s="34">
        <f>SUM(H42:K42)</f>
        <v>2359.1930000000002</v>
      </c>
      <c r="H42" s="35"/>
      <c r="I42" s="35">
        <v>2359.1930000000002</v>
      </c>
      <c r="J42" s="35"/>
      <c r="K42" s="36"/>
      <c r="L42" s="13"/>
      <c r="M42" s="37" t="s">
        <v>72</v>
      </c>
      <c r="N42" s="38" t="s">
        <v>73</v>
      </c>
      <c r="O42" s="38" t="s">
        <v>337</v>
      </c>
    </row>
    <row r="43" spans="3:16" s="14" customFormat="1" ht="12.75" x14ac:dyDescent="0.2">
      <c r="C43" s="12"/>
      <c r="D43" s="44"/>
      <c r="E43" s="27" t="s">
        <v>20</v>
      </c>
      <c r="F43" s="28"/>
      <c r="G43" s="28"/>
      <c r="H43" s="28"/>
      <c r="I43" s="28"/>
      <c r="J43" s="28"/>
      <c r="K43" s="29"/>
      <c r="L43" s="13"/>
      <c r="M43" s="19"/>
      <c r="P43" s="91"/>
    </row>
    <row r="44" spans="3:16" s="14" customFormat="1" ht="12.75" x14ac:dyDescent="0.2">
      <c r="C44" s="12"/>
      <c r="D44" s="15" t="s">
        <v>74</v>
      </c>
      <c r="E44" s="45" t="s">
        <v>75</v>
      </c>
      <c r="F44" s="17" t="s">
        <v>76</v>
      </c>
      <c r="G44" s="18">
        <f t="shared" si="0"/>
        <v>0</v>
      </c>
      <c r="H44" s="21"/>
      <c r="I44" s="21"/>
      <c r="J44" s="21"/>
      <c r="K44" s="21"/>
      <c r="L44" s="13"/>
      <c r="M44" s="19"/>
      <c r="P44" s="91">
        <v>120</v>
      </c>
    </row>
    <row r="45" spans="3:16" s="14" customFormat="1" ht="12.75" x14ac:dyDescent="0.2">
      <c r="C45" s="12"/>
      <c r="D45" s="15" t="s">
        <v>77</v>
      </c>
      <c r="E45" s="16" t="s">
        <v>78</v>
      </c>
      <c r="F45" s="17" t="s">
        <v>79</v>
      </c>
      <c r="G45" s="18">
        <f t="shared" si="0"/>
        <v>2683.3210000000008</v>
      </c>
      <c r="H45" s="21">
        <f>H26-H48</f>
        <v>788.80399999999997</v>
      </c>
      <c r="I45" s="21">
        <f>I15-I34-I48</f>
        <v>1045.4590000000005</v>
      </c>
      <c r="J45" s="21">
        <f>J24+J28+J17-J34-J48</f>
        <v>849.05800000000045</v>
      </c>
      <c r="K45" s="21">
        <f>K31-K34-K48</f>
        <v>2.2026824808563106E-13</v>
      </c>
      <c r="L45" s="13"/>
      <c r="M45" s="19"/>
      <c r="P45" s="91">
        <v>150</v>
      </c>
    </row>
    <row r="46" spans="3:16" s="14" customFormat="1" ht="12.75" x14ac:dyDescent="0.2">
      <c r="C46" s="12"/>
      <c r="D46" s="15" t="s">
        <v>80</v>
      </c>
      <c r="E46" s="16" t="s">
        <v>81</v>
      </c>
      <c r="F46" s="17" t="s">
        <v>82</v>
      </c>
      <c r="G46" s="18">
        <f t="shared" si="0"/>
        <v>0</v>
      </c>
      <c r="H46" s="21"/>
      <c r="I46" s="21"/>
      <c r="J46" s="21"/>
      <c r="K46" s="21"/>
      <c r="L46" s="13"/>
      <c r="M46" s="19"/>
      <c r="P46" s="91">
        <v>160</v>
      </c>
    </row>
    <row r="47" spans="3:16" s="14" customFormat="1" ht="12.75" x14ac:dyDescent="0.2">
      <c r="C47" s="12"/>
      <c r="D47" s="15" t="s">
        <v>83</v>
      </c>
      <c r="E47" s="16" t="s">
        <v>84</v>
      </c>
      <c r="F47" s="17" t="s">
        <v>85</v>
      </c>
      <c r="G47" s="18">
        <f t="shared" si="0"/>
        <v>0</v>
      </c>
      <c r="H47" s="21"/>
      <c r="I47" s="21"/>
      <c r="J47" s="21"/>
      <c r="K47" s="21"/>
      <c r="L47" s="13"/>
      <c r="M47" s="19"/>
      <c r="P47" s="91">
        <v>180</v>
      </c>
    </row>
    <row r="48" spans="3:16" s="14" customFormat="1" ht="12.75" x14ac:dyDescent="0.2">
      <c r="C48" s="12"/>
      <c r="D48" s="15" t="s">
        <v>86</v>
      </c>
      <c r="E48" s="16" t="s">
        <v>87</v>
      </c>
      <c r="F48" s="17" t="s">
        <v>88</v>
      </c>
      <c r="G48" s="18">
        <f t="shared" si="0"/>
        <v>78.441000000000003</v>
      </c>
      <c r="H48" s="21">
        <v>1.7589999999999999</v>
      </c>
      <c r="I48" s="21">
        <v>28.314</v>
      </c>
      <c r="J48" s="21">
        <v>24.762</v>
      </c>
      <c r="K48" s="21">
        <v>23.606000000000002</v>
      </c>
      <c r="L48" s="13"/>
      <c r="M48" s="19"/>
      <c r="P48" s="91">
        <v>190</v>
      </c>
    </row>
    <row r="49" spans="3:16" s="14" customFormat="1" ht="12.75" x14ac:dyDescent="0.2">
      <c r="C49" s="12"/>
      <c r="D49" s="15" t="s">
        <v>89</v>
      </c>
      <c r="E49" s="20" t="s">
        <v>90</v>
      </c>
      <c r="F49" s="17" t="s">
        <v>91</v>
      </c>
      <c r="G49" s="18">
        <f t="shared" si="0"/>
        <v>0</v>
      </c>
      <c r="H49" s="21"/>
      <c r="I49" s="21"/>
      <c r="J49" s="21"/>
      <c r="K49" s="21"/>
      <c r="L49" s="13"/>
      <c r="M49" s="19"/>
      <c r="P49" s="91">
        <v>200</v>
      </c>
    </row>
    <row r="50" spans="3:16" s="14" customFormat="1" ht="22.5" x14ac:dyDescent="0.2">
      <c r="C50" s="12"/>
      <c r="D50" s="15" t="s">
        <v>92</v>
      </c>
      <c r="E50" s="16" t="s">
        <v>93</v>
      </c>
      <c r="F50" s="17" t="s">
        <v>94</v>
      </c>
      <c r="G50" s="18">
        <f t="shared" si="0"/>
        <v>71.319999999999993</v>
      </c>
      <c r="H50" s="21"/>
      <c r="I50" s="21">
        <f>71.32*0.2468</f>
        <v>17.601775999999997</v>
      </c>
      <c r="J50" s="21">
        <f>71.32*0.3293</f>
        <v>23.485675999999998</v>
      </c>
      <c r="K50" s="21">
        <f>71.32*0.4239</f>
        <v>30.232547999999998</v>
      </c>
      <c r="L50" s="13"/>
      <c r="M50" s="19"/>
      <c r="P50" s="92"/>
    </row>
    <row r="51" spans="3:16" s="14" customFormat="1" ht="33.75" x14ac:dyDescent="0.2">
      <c r="C51" s="12"/>
      <c r="D51" s="15" t="s">
        <v>95</v>
      </c>
      <c r="E51" s="40" t="s">
        <v>96</v>
      </c>
      <c r="F51" s="17" t="s">
        <v>97</v>
      </c>
      <c r="G51" s="18">
        <f t="shared" si="0"/>
        <v>7.1210000000000093</v>
      </c>
      <c r="H51" s="18">
        <f>H48-H50</f>
        <v>1.7589999999999999</v>
      </c>
      <c r="I51" s="18">
        <f>I48-I50</f>
        <v>10.712224000000003</v>
      </c>
      <c r="J51" s="18">
        <f>J48-J50</f>
        <v>1.2763240000000025</v>
      </c>
      <c r="K51" s="18">
        <f>K48-K50</f>
        <v>-6.6265479999999961</v>
      </c>
      <c r="L51" s="13"/>
      <c r="M51" s="19"/>
      <c r="P51" s="92"/>
    </row>
    <row r="52" spans="3:16" s="14" customFormat="1" ht="12.75" x14ac:dyDescent="0.2">
      <c r="C52" s="12"/>
      <c r="D52" s="15" t="s">
        <v>98</v>
      </c>
      <c r="E52" s="16" t="s">
        <v>99</v>
      </c>
      <c r="F52" s="17" t="s">
        <v>100</v>
      </c>
      <c r="G52" s="18">
        <f t="shared" si="0"/>
        <v>0</v>
      </c>
      <c r="H52" s="18">
        <f>(H15+H28+H33)-(H34+H45+H46+H47+H48)</f>
        <v>0</v>
      </c>
      <c r="I52" s="18">
        <f>(I15+I28+I33)-(I34+I45+I46+I47+I48)</f>
        <v>0</v>
      </c>
      <c r="J52" s="18">
        <f>(J15+J28+J33)-(J34+J45+J46+J47+J48)</f>
        <v>0</v>
      </c>
      <c r="K52" s="18">
        <f>(K15+K28+K33)-(K34+K45+K46+K47+K48)</f>
        <v>0</v>
      </c>
      <c r="L52" s="13"/>
      <c r="M52" s="19"/>
      <c r="P52" s="91">
        <v>210</v>
      </c>
    </row>
    <row r="53" spans="3:16" s="14" customFormat="1" ht="12.75" x14ac:dyDescent="0.2">
      <c r="C53" s="12"/>
      <c r="D53" s="111" t="s">
        <v>101</v>
      </c>
      <c r="E53" s="112"/>
      <c r="F53" s="112"/>
      <c r="G53" s="112"/>
      <c r="H53" s="112"/>
      <c r="I53" s="112"/>
      <c r="J53" s="112"/>
      <c r="K53" s="113"/>
      <c r="L53" s="13"/>
      <c r="M53" s="19"/>
      <c r="P53" s="92"/>
    </row>
    <row r="54" spans="3:16" s="14" customFormat="1" ht="12.75" x14ac:dyDescent="0.2">
      <c r="C54" s="12"/>
      <c r="D54" s="15" t="s">
        <v>102</v>
      </c>
      <c r="E54" s="16" t="s">
        <v>13</v>
      </c>
      <c r="F54" s="17" t="s">
        <v>103</v>
      </c>
      <c r="G54" s="18">
        <f t="shared" si="0"/>
        <v>7.2497958333333337</v>
      </c>
      <c r="H54" s="18">
        <f>H55+H56+H60+H63</f>
        <v>1.0980041666666667</v>
      </c>
      <c r="I54" s="18">
        <f>I55+I56+I60+I63</f>
        <v>5.8168305555555557</v>
      </c>
      <c r="J54" s="18">
        <f>J55+J56+J60+J63</f>
        <v>0.3349611111111111</v>
      </c>
      <c r="K54" s="18">
        <f>K55+K56+K60+K63</f>
        <v>0</v>
      </c>
      <c r="L54" s="13"/>
      <c r="M54" s="19"/>
      <c r="P54" s="91">
        <v>300</v>
      </c>
    </row>
    <row r="55" spans="3:16" s="14" customFormat="1" ht="12.75" x14ac:dyDescent="0.2">
      <c r="C55" s="12"/>
      <c r="D55" s="15" t="s">
        <v>104</v>
      </c>
      <c r="E55" s="20" t="s">
        <v>15</v>
      </c>
      <c r="F55" s="17" t="s">
        <v>105</v>
      </c>
      <c r="G55" s="18">
        <f t="shared" si="0"/>
        <v>0</v>
      </c>
      <c r="H55" s="21"/>
      <c r="I55" s="21"/>
      <c r="J55" s="21"/>
      <c r="K55" s="21"/>
      <c r="L55" s="13"/>
      <c r="M55" s="19"/>
      <c r="P55" s="91">
        <v>310</v>
      </c>
    </row>
    <row r="56" spans="3:16" s="14" customFormat="1" ht="12.75" x14ac:dyDescent="0.2">
      <c r="C56" s="12"/>
      <c r="D56" s="15" t="s">
        <v>106</v>
      </c>
      <c r="E56" s="20" t="s">
        <v>17</v>
      </c>
      <c r="F56" s="17" t="s">
        <v>107</v>
      </c>
      <c r="G56" s="18">
        <f t="shared" si="0"/>
        <v>2.652777777777778E-4</v>
      </c>
      <c r="H56" s="18">
        <f>SUM(H57:H59)</f>
        <v>0</v>
      </c>
      <c r="I56" s="18">
        <f>SUM(I57:I59)</f>
        <v>0</v>
      </c>
      <c r="J56" s="18">
        <f>SUM(J57:J59)</f>
        <v>2.652777777777778E-4</v>
      </c>
      <c r="K56" s="18">
        <f>SUM(K57:K59)</f>
        <v>0</v>
      </c>
      <c r="L56" s="13"/>
      <c r="M56" s="19"/>
      <c r="P56" s="91">
        <v>320</v>
      </c>
    </row>
    <row r="57" spans="3:16" s="14" customFormat="1" ht="12.75" x14ac:dyDescent="0.2">
      <c r="C57" s="12"/>
      <c r="D57" s="22" t="s">
        <v>108</v>
      </c>
      <c r="E57" s="23"/>
      <c r="F57" s="24" t="s">
        <v>107</v>
      </c>
      <c r="G57" s="25"/>
      <c r="H57" s="25"/>
      <c r="I57" s="25"/>
      <c r="J57" s="25"/>
      <c r="K57" s="25"/>
      <c r="L57" s="13"/>
      <c r="M57" s="19"/>
      <c r="P57" s="91"/>
    </row>
    <row r="58" spans="3:16" s="14" customFormat="1" ht="15" x14ac:dyDescent="0.25">
      <c r="C58" s="30" t="s">
        <v>29</v>
      </c>
      <c r="D58" s="31" t="s">
        <v>345</v>
      </c>
      <c r="E58" s="32" t="s">
        <v>341</v>
      </c>
      <c r="F58" s="33">
        <v>1061</v>
      </c>
      <c r="G58" s="34">
        <f>SUM(H58:K58)</f>
        <v>2.652777777777778E-4</v>
      </c>
      <c r="H58" s="35"/>
      <c r="I58" s="35"/>
      <c r="J58" s="35">
        <f>J19/720</f>
        <v>2.652777777777778E-4</v>
      </c>
      <c r="K58" s="36"/>
      <c r="L58" s="13"/>
      <c r="M58" s="37" t="s">
        <v>342</v>
      </c>
      <c r="N58" s="38" t="s">
        <v>343</v>
      </c>
      <c r="O58" s="38" t="s">
        <v>344</v>
      </c>
    </row>
    <row r="59" spans="3:16" s="14" customFormat="1" ht="12.75" x14ac:dyDescent="0.2">
      <c r="C59" s="12"/>
      <c r="D59" s="26"/>
      <c r="E59" s="27" t="s">
        <v>20</v>
      </c>
      <c r="F59" s="28"/>
      <c r="G59" s="28"/>
      <c r="H59" s="28"/>
      <c r="I59" s="28"/>
      <c r="J59" s="28"/>
      <c r="K59" s="29"/>
      <c r="L59" s="13"/>
      <c r="M59" s="19"/>
      <c r="P59" s="91"/>
    </row>
    <row r="60" spans="3:16" s="14" customFormat="1" ht="12.75" x14ac:dyDescent="0.2">
      <c r="C60" s="12"/>
      <c r="D60" s="15" t="s">
        <v>109</v>
      </c>
      <c r="E60" s="20" t="s">
        <v>22</v>
      </c>
      <c r="F60" s="17" t="s">
        <v>110</v>
      </c>
      <c r="G60" s="18">
        <f t="shared" si="0"/>
        <v>0</v>
      </c>
      <c r="H60" s="18">
        <f>SUM(H61:H62)</f>
        <v>0</v>
      </c>
      <c r="I60" s="18">
        <f>SUM(I61:I62)</f>
        <v>0</v>
      </c>
      <c r="J60" s="18">
        <f>SUM(J61:J62)</f>
        <v>0</v>
      </c>
      <c r="K60" s="18">
        <f>SUM(K61:K62)</f>
        <v>0</v>
      </c>
      <c r="L60" s="13"/>
      <c r="M60" s="19"/>
      <c r="P60" s="91"/>
    </row>
    <row r="61" spans="3:16" s="14" customFormat="1" ht="12.75" x14ac:dyDescent="0.2">
      <c r="C61" s="12"/>
      <c r="D61" s="22" t="s">
        <v>111</v>
      </c>
      <c r="E61" s="23"/>
      <c r="F61" s="24" t="s">
        <v>110</v>
      </c>
      <c r="G61" s="25"/>
      <c r="H61" s="25"/>
      <c r="I61" s="25"/>
      <c r="J61" s="25"/>
      <c r="K61" s="25"/>
      <c r="L61" s="13"/>
      <c r="M61" s="19"/>
      <c r="P61" s="91"/>
    </row>
    <row r="62" spans="3:16" s="14" customFormat="1" ht="12.75" x14ac:dyDescent="0.2">
      <c r="C62" s="12"/>
      <c r="D62" s="26"/>
      <c r="E62" s="27" t="s">
        <v>20</v>
      </c>
      <c r="F62" s="28"/>
      <c r="G62" s="28"/>
      <c r="H62" s="28"/>
      <c r="I62" s="28"/>
      <c r="J62" s="28"/>
      <c r="K62" s="29"/>
      <c r="L62" s="13"/>
      <c r="M62" s="19"/>
      <c r="P62" s="91"/>
    </row>
    <row r="63" spans="3:16" s="14" customFormat="1" ht="12.75" x14ac:dyDescent="0.2">
      <c r="C63" s="12"/>
      <c r="D63" s="15" t="s">
        <v>112</v>
      </c>
      <c r="E63" s="20" t="s">
        <v>26</v>
      </c>
      <c r="F63" s="17" t="s">
        <v>113</v>
      </c>
      <c r="G63" s="18">
        <f t="shared" si="0"/>
        <v>7.2495305555555554</v>
      </c>
      <c r="H63" s="18">
        <f>SUM(H64:H66)</f>
        <v>1.0980041666666667</v>
      </c>
      <c r="I63" s="18">
        <f>SUM(I64:I66)</f>
        <v>5.8168305555555557</v>
      </c>
      <c r="J63" s="18">
        <f>SUM(J64:J66)</f>
        <v>0.3346958333333333</v>
      </c>
      <c r="K63" s="18">
        <f>SUM(K64:K66)</f>
        <v>0</v>
      </c>
      <c r="L63" s="13"/>
      <c r="M63" s="19"/>
      <c r="P63" s="91">
        <v>330</v>
      </c>
    </row>
    <row r="64" spans="3:16" s="14" customFormat="1" ht="12.75" x14ac:dyDescent="0.2">
      <c r="C64" s="12"/>
      <c r="D64" s="22" t="s">
        <v>114</v>
      </c>
      <c r="E64" s="23"/>
      <c r="F64" s="24" t="s">
        <v>113</v>
      </c>
      <c r="G64" s="25"/>
      <c r="H64" s="25"/>
      <c r="I64" s="25"/>
      <c r="J64" s="25"/>
      <c r="K64" s="25"/>
      <c r="L64" s="13"/>
      <c r="M64" s="19"/>
      <c r="P64" s="91"/>
    </row>
    <row r="65" spans="3:16" s="14" customFormat="1" ht="15" x14ac:dyDescent="0.25">
      <c r="C65" s="30" t="s">
        <v>29</v>
      </c>
      <c r="D65" s="31" t="s">
        <v>115</v>
      </c>
      <c r="E65" s="32" t="s">
        <v>31</v>
      </c>
      <c r="F65" s="33">
        <v>1461</v>
      </c>
      <c r="G65" s="34">
        <f>SUM(H65:K65)</f>
        <v>7.2495305555555554</v>
      </c>
      <c r="H65" s="35">
        <f>H26/720</f>
        <v>1.0980041666666667</v>
      </c>
      <c r="I65" s="35">
        <f>I26/720</f>
        <v>5.8168305555555557</v>
      </c>
      <c r="J65" s="35">
        <f>J26/720</f>
        <v>0.3346958333333333</v>
      </c>
      <c r="K65" s="35"/>
      <c r="L65" s="13"/>
      <c r="M65" s="37" t="s">
        <v>32</v>
      </c>
      <c r="N65" s="38" t="s">
        <v>33</v>
      </c>
      <c r="O65" s="38" t="s">
        <v>336</v>
      </c>
    </row>
    <row r="66" spans="3:16" s="14" customFormat="1" ht="12.75" x14ac:dyDescent="0.2">
      <c r="C66" s="12"/>
      <c r="D66" s="26"/>
      <c r="E66" s="27" t="s">
        <v>20</v>
      </c>
      <c r="F66" s="28"/>
      <c r="G66" s="28"/>
      <c r="H66" s="28"/>
      <c r="I66" s="28"/>
      <c r="J66" s="28"/>
      <c r="K66" s="29"/>
      <c r="L66" s="13"/>
      <c r="M66" s="19"/>
      <c r="P66" s="91"/>
    </row>
    <row r="67" spans="3:16" s="14" customFormat="1" ht="12.75" x14ac:dyDescent="0.2">
      <c r="C67" s="12"/>
      <c r="D67" s="15" t="s">
        <v>116</v>
      </c>
      <c r="E67" s="16" t="s">
        <v>35</v>
      </c>
      <c r="F67" s="17" t="s">
        <v>117</v>
      </c>
      <c r="G67" s="18">
        <f t="shared" si="0"/>
        <v>3.7268347222222231</v>
      </c>
      <c r="H67" s="18">
        <f>H69+H70+H71</f>
        <v>0</v>
      </c>
      <c r="I67" s="18">
        <f>I68+I70+I71</f>
        <v>0</v>
      </c>
      <c r="J67" s="18">
        <f>J68+J69+J71</f>
        <v>2.5475875000000006</v>
      </c>
      <c r="K67" s="18">
        <f>K68+K69+K70</f>
        <v>1.1792472222222226</v>
      </c>
      <c r="L67" s="13"/>
      <c r="M67" s="19"/>
      <c r="P67" s="91">
        <v>340</v>
      </c>
    </row>
    <row r="68" spans="3:16" s="14" customFormat="1" ht="12.75" x14ac:dyDescent="0.2">
      <c r="C68" s="12"/>
      <c r="D68" s="15" t="s">
        <v>118</v>
      </c>
      <c r="E68" s="20" t="s">
        <v>7</v>
      </c>
      <c r="F68" s="17" t="s">
        <v>119</v>
      </c>
      <c r="G68" s="18">
        <f t="shared" si="0"/>
        <v>1.095561111111111</v>
      </c>
      <c r="H68" s="39"/>
      <c r="I68" s="21"/>
      <c r="J68" s="21">
        <f>J29/720</f>
        <v>1.095561111111111</v>
      </c>
      <c r="K68" s="21"/>
      <c r="L68" s="13"/>
      <c r="M68" s="19"/>
      <c r="P68" s="91">
        <v>350</v>
      </c>
    </row>
    <row r="69" spans="3:16" s="14" customFormat="1" ht="12.75" x14ac:dyDescent="0.2">
      <c r="C69" s="12"/>
      <c r="D69" s="15" t="s">
        <v>120</v>
      </c>
      <c r="E69" s="20" t="s">
        <v>8</v>
      </c>
      <c r="F69" s="17" t="s">
        <v>121</v>
      </c>
      <c r="G69" s="18">
        <f t="shared" si="0"/>
        <v>1.4520263888888896</v>
      </c>
      <c r="H69" s="21"/>
      <c r="I69" s="46"/>
      <c r="J69" s="21">
        <f>J30/720</f>
        <v>1.4520263888888896</v>
      </c>
      <c r="K69" s="21"/>
      <c r="L69" s="13"/>
      <c r="M69" s="19"/>
      <c r="P69" s="91">
        <v>360</v>
      </c>
    </row>
    <row r="70" spans="3:16" s="14" customFormat="1" ht="12.75" x14ac:dyDescent="0.2">
      <c r="C70" s="12"/>
      <c r="D70" s="15" t="s">
        <v>122</v>
      </c>
      <c r="E70" s="20" t="s">
        <v>9</v>
      </c>
      <c r="F70" s="17" t="s">
        <v>123</v>
      </c>
      <c r="G70" s="18">
        <f t="shared" si="0"/>
        <v>1.1792472222222226</v>
      </c>
      <c r="H70" s="21"/>
      <c r="I70" s="21"/>
      <c r="J70" s="39"/>
      <c r="K70" s="21">
        <f>K31/720</f>
        <v>1.1792472222222226</v>
      </c>
      <c r="L70" s="13"/>
      <c r="M70" s="19"/>
      <c r="P70" s="91">
        <v>370</v>
      </c>
    </row>
    <row r="71" spans="3:16" s="14" customFormat="1" ht="12.75" x14ac:dyDescent="0.2">
      <c r="C71" s="12"/>
      <c r="D71" s="15" t="s">
        <v>124</v>
      </c>
      <c r="E71" s="20" t="s">
        <v>44</v>
      </c>
      <c r="F71" s="17" t="s">
        <v>125</v>
      </c>
      <c r="G71" s="18">
        <f t="shared" si="0"/>
        <v>0</v>
      </c>
      <c r="H71" s="21"/>
      <c r="I71" s="21"/>
      <c r="J71" s="21"/>
      <c r="K71" s="39"/>
      <c r="L71" s="13"/>
      <c r="M71" s="19"/>
      <c r="P71" s="91">
        <v>380</v>
      </c>
    </row>
    <row r="72" spans="3:16" s="14" customFormat="1" ht="12.75" x14ac:dyDescent="0.2">
      <c r="C72" s="12"/>
      <c r="D72" s="15" t="s">
        <v>126</v>
      </c>
      <c r="E72" s="40" t="s">
        <v>47</v>
      </c>
      <c r="F72" s="17" t="s">
        <v>127</v>
      </c>
      <c r="G72" s="18">
        <f t="shared" si="0"/>
        <v>0</v>
      </c>
      <c r="H72" s="21"/>
      <c r="I72" s="21"/>
      <c r="J72" s="21"/>
      <c r="K72" s="21"/>
      <c r="L72" s="13"/>
      <c r="M72" s="19"/>
      <c r="P72" s="91"/>
    </row>
    <row r="73" spans="3:16" s="14" customFormat="1" ht="12.75" x14ac:dyDescent="0.2">
      <c r="C73" s="12"/>
      <c r="D73" s="15" t="s">
        <v>128</v>
      </c>
      <c r="E73" s="16" t="s">
        <v>50</v>
      </c>
      <c r="F73" s="41" t="s">
        <v>129</v>
      </c>
      <c r="G73" s="18">
        <f t="shared" si="0"/>
        <v>7.1408499999999995</v>
      </c>
      <c r="H73" s="18">
        <f>H74+H76+H79+H83</f>
        <v>0</v>
      </c>
      <c r="I73" s="18">
        <f>I74+I76+I79+I83</f>
        <v>4.3254791666666668</v>
      </c>
      <c r="J73" s="18">
        <f>J74+J76+J79+J83</f>
        <v>1.6689097222222222</v>
      </c>
      <c r="K73" s="18">
        <f>K74+K76+K79+K83</f>
        <v>1.1464611111111112</v>
      </c>
      <c r="L73" s="13"/>
      <c r="M73" s="19"/>
      <c r="P73" s="91">
        <v>390</v>
      </c>
    </row>
    <row r="74" spans="3:16" s="14" customFormat="1" ht="22.5" x14ac:dyDescent="0.2">
      <c r="C74" s="12"/>
      <c r="D74" s="15" t="s">
        <v>130</v>
      </c>
      <c r="E74" s="20" t="s">
        <v>53</v>
      </c>
      <c r="F74" s="17" t="s">
        <v>131</v>
      </c>
      <c r="G74" s="18">
        <f t="shared" si="0"/>
        <v>0</v>
      </c>
      <c r="H74" s="21"/>
      <c r="I74" s="21"/>
      <c r="J74" s="21"/>
      <c r="K74" s="21"/>
      <c r="L74" s="13"/>
      <c r="M74" s="19"/>
      <c r="P74" s="91"/>
    </row>
    <row r="75" spans="3:16" s="14" customFormat="1" ht="12.75" x14ac:dyDescent="0.2">
      <c r="C75" s="12"/>
      <c r="D75" s="15" t="s">
        <v>132</v>
      </c>
      <c r="E75" s="42" t="s">
        <v>56</v>
      </c>
      <c r="F75" s="17" t="s">
        <v>133</v>
      </c>
      <c r="G75" s="18">
        <f t="shared" si="0"/>
        <v>0</v>
      </c>
      <c r="H75" s="21"/>
      <c r="I75" s="21"/>
      <c r="J75" s="21"/>
      <c r="K75" s="21"/>
      <c r="L75" s="13"/>
      <c r="M75" s="19"/>
      <c r="P75" s="91"/>
    </row>
    <row r="76" spans="3:16" s="14" customFormat="1" ht="12.75" x14ac:dyDescent="0.2">
      <c r="C76" s="12"/>
      <c r="D76" s="15" t="s">
        <v>134</v>
      </c>
      <c r="E76" s="20" t="s">
        <v>59</v>
      </c>
      <c r="F76" s="17" t="s">
        <v>135</v>
      </c>
      <c r="G76" s="18">
        <f t="shared" si="0"/>
        <v>3.864193055555555</v>
      </c>
      <c r="H76" s="21"/>
      <c r="I76" s="21">
        <f>I37/720</f>
        <v>1.0488222222222217</v>
      </c>
      <c r="J76" s="21">
        <f>J37/720</f>
        <v>1.6689097222222222</v>
      </c>
      <c r="K76" s="21">
        <f>K37/720</f>
        <v>1.1464611111111112</v>
      </c>
      <c r="L76" s="13"/>
      <c r="M76" s="19"/>
      <c r="P76" s="91"/>
    </row>
    <row r="77" spans="3:16" s="14" customFormat="1" ht="12.75" x14ac:dyDescent="0.2">
      <c r="C77" s="12"/>
      <c r="D77" s="15" t="s">
        <v>136</v>
      </c>
      <c r="E77" s="42" t="s">
        <v>62</v>
      </c>
      <c r="F77" s="17" t="s">
        <v>137</v>
      </c>
      <c r="G77" s="18">
        <f t="shared" si="0"/>
        <v>0</v>
      </c>
      <c r="H77" s="21"/>
      <c r="I77" s="21"/>
      <c r="J77" s="21"/>
      <c r="K77" s="21"/>
      <c r="L77" s="13"/>
      <c r="M77" s="19"/>
      <c r="P77" s="91"/>
    </row>
    <row r="78" spans="3:16" s="14" customFormat="1" ht="12.75" x14ac:dyDescent="0.2">
      <c r="C78" s="12"/>
      <c r="D78" s="15" t="s">
        <v>138</v>
      </c>
      <c r="E78" s="43" t="s">
        <v>56</v>
      </c>
      <c r="F78" s="17" t="s">
        <v>139</v>
      </c>
      <c r="G78" s="18">
        <f t="shared" si="0"/>
        <v>0</v>
      </c>
      <c r="H78" s="21"/>
      <c r="I78" s="21"/>
      <c r="J78" s="21"/>
      <c r="K78" s="21"/>
      <c r="L78" s="13"/>
      <c r="M78" s="19"/>
      <c r="P78" s="91"/>
    </row>
    <row r="79" spans="3:16" s="14" customFormat="1" ht="12.75" x14ac:dyDescent="0.2">
      <c r="C79" s="12"/>
      <c r="D79" s="15" t="s">
        <v>140</v>
      </c>
      <c r="E79" s="20" t="s">
        <v>67</v>
      </c>
      <c r="F79" s="17" t="s">
        <v>141</v>
      </c>
      <c r="G79" s="18">
        <f t="shared" si="0"/>
        <v>3.2766569444444449</v>
      </c>
      <c r="H79" s="18">
        <f>SUM(H80:H82)</f>
        <v>0</v>
      </c>
      <c r="I79" s="18">
        <f>SUM(I80:I82)</f>
        <v>3.2766569444444449</v>
      </c>
      <c r="J79" s="18">
        <f>SUM(J80:J82)</f>
        <v>0</v>
      </c>
      <c r="K79" s="18">
        <f>SUM(K80:K82)</f>
        <v>0</v>
      </c>
      <c r="L79" s="13"/>
      <c r="M79" s="19"/>
      <c r="P79" s="91"/>
    </row>
    <row r="80" spans="3:16" s="14" customFormat="1" ht="12.75" x14ac:dyDescent="0.2">
      <c r="C80" s="12"/>
      <c r="D80" s="22" t="s">
        <v>142</v>
      </c>
      <c r="E80" s="23"/>
      <c r="F80" s="24" t="s">
        <v>141</v>
      </c>
      <c r="G80" s="25"/>
      <c r="H80" s="25"/>
      <c r="I80" s="25"/>
      <c r="J80" s="25"/>
      <c r="K80" s="25"/>
      <c r="L80" s="13"/>
      <c r="M80" s="19"/>
      <c r="P80" s="91"/>
    </row>
    <row r="81" spans="3:16" s="14" customFormat="1" ht="15" x14ac:dyDescent="0.25">
      <c r="C81" s="30" t="s">
        <v>29</v>
      </c>
      <c r="D81" s="31" t="s">
        <v>143</v>
      </c>
      <c r="E81" s="32" t="s">
        <v>71</v>
      </c>
      <c r="F81" s="33">
        <v>1781</v>
      </c>
      <c r="G81" s="34">
        <f>SUM(H81:K81)</f>
        <v>3.2766569444444449</v>
      </c>
      <c r="H81" s="35"/>
      <c r="I81" s="35">
        <f>I42/720</f>
        <v>3.2766569444444449</v>
      </c>
      <c r="J81" s="35"/>
      <c r="K81" s="36"/>
      <c r="L81" s="13"/>
      <c r="M81" s="37" t="s">
        <v>72</v>
      </c>
      <c r="N81" s="38" t="s">
        <v>73</v>
      </c>
      <c r="O81" s="38" t="s">
        <v>337</v>
      </c>
    </row>
    <row r="82" spans="3:16" s="14" customFormat="1" ht="12.75" x14ac:dyDescent="0.2">
      <c r="C82" s="12"/>
      <c r="D82" s="26"/>
      <c r="E82" s="27" t="s">
        <v>20</v>
      </c>
      <c r="F82" s="28"/>
      <c r="G82" s="28"/>
      <c r="H82" s="28"/>
      <c r="I82" s="28"/>
      <c r="J82" s="28"/>
      <c r="K82" s="29"/>
      <c r="L82" s="13"/>
      <c r="M82" s="19"/>
      <c r="P82" s="91"/>
    </row>
    <row r="83" spans="3:16" s="14" customFormat="1" ht="12.75" x14ac:dyDescent="0.2">
      <c r="C83" s="12"/>
      <c r="D83" s="15" t="s">
        <v>144</v>
      </c>
      <c r="E83" s="45" t="s">
        <v>75</v>
      </c>
      <c r="F83" s="17" t="s">
        <v>145</v>
      </c>
      <c r="G83" s="18">
        <f t="shared" si="0"/>
        <v>0</v>
      </c>
      <c r="H83" s="21"/>
      <c r="I83" s="21"/>
      <c r="J83" s="21"/>
      <c r="K83" s="21"/>
      <c r="L83" s="13"/>
      <c r="M83" s="19"/>
      <c r="P83" s="91">
        <v>410</v>
      </c>
    </row>
    <row r="84" spans="3:16" s="14" customFormat="1" ht="12.75" x14ac:dyDescent="0.2">
      <c r="C84" s="12"/>
      <c r="D84" s="15" t="s">
        <v>146</v>
      </c>
      <c r="E84" s="16" t="s">
        <v>78</v>
      </c>
      <c r="F84" s="17" t="s">
        <v>147</v>
      </c>
      <c r="G84" s="18">
        <f t="shared" si="0"/>
        <v>3.726834722222224</v>
      </c>
      <c r="H84" s="21">
        <f>H45/720</f>
        <v>1.095561111111111</v>
      </c>
      <c r="I84" s="21">
        <f>I45/720</f>
        <v>1.4520263888888896</v>
      </c>
      <c r="J84" s="21">
        <f>J45/720</f>
        <v>1.1792472222222228</v>
      </c>
      <c r="K84" s="21">
        <f>K45/720</f>
        <v>3.0592812234115424E-16</v>
      </c>
      <c r="L84" s="13"/>
      <c r="M84" s="19"/>
      <c r="P84" s="91">
        <v>440</v>
      </c>
    </row>
    <row r="85" spans="3:16" s="14" customFormat="1" ht="12.75" x14ac:dyDescent="0.2">
      <c r="C85" s="12"/>
      <c r="D85" s="15" t="s">
        <v>148</v>
      </c>
      <c r="E85" s="16" t="s">
        <v>81</v>
      </c>
      <c r="F85" s="17" t="s">
        <v>149</v>
      </c>
      <c r="G85" s="18">
        <f t="shared" si="0"/>
        <v>0</v>
      </c>
      <c r="H85" s="21"/>
      <c r="I85" s="21"/>
      <c r="J85" s="21"/>
      <c r="K85" s="21"/>
      <c r="L85" s="13"/>
      <c r="M85" s="19"/>
      <c r="P85" s="91">
        <v>450</v>
      </c>
    </row>
    <row r="86" spans="3:16" s="14" customFormat="1" ht="12.75" x14ac:dyDescent="0.2">
      <c r="C86" s="12"/>
      <c r="D86" s="15" t="s">
        <v>150</v>
      </c>
      <c r="E86" s="16" t="s">
        <v>84</v>
      </c>
      <c r="F86" s="17" t="s">
        <v>151</v>
      </c>
      <c r="G86" s="18">
        <f t="shared" si="0"/>
        <v>0</v>
      </c>
      <c r="H86" s="21"/>
      <c r="I86" s="21"/>
      <c r="J86" s="21"/>
      <c r="K86" s="21"/>
      <c r="L86" s="13"/>
      <c r="M86" s="19"/>
      <c r="P86" s="91">
        <v>470</v>
      </c>
    </row>
    <row r="87" spans="3:16" s="14" customFormat="1" ht="12.75" x14ac:dyDescent="0.2">
      <c r="C87" s="12"/>
      <c r="D87" s="15" t="s">
        <v>152</v>
      </c>
      <c r="E87" s="16" t="s">
        <v>87</v>
      </c>
      <c r="F87" s="17" t="s">
        <v>153</v>
      </c>
      <c r="G87" s="18">
        <f t="shared" si="0"/>
        <v>0.10894583333333334</v>
      </c>
      <c r="H87" s="21">
        <f>H48/720</f>
        <v>2.4430555555555555E-3</v>
      </c>
      <c r="I87" s="21">
        <f>I48/720</f>
        <v>3.9324999999999999E-2</v>
      </c>
      <c r="J87" s="21">
        <f>J48/720</f>
        <v>3.4391666666666668E-2</v>
      </c>
      <c r="K87" s="21">
        <f>K48/720</f>
        <v>3.2786111111111113E-2</v>
      </c>
      <c r="L87" s="13"/>
      <c r="M87" s="19"/>
      <c r="P87" s="91">
        <v>480</v>
      </c>
    </row>
    <row r="88" spans="3:16" s="14" customFormat="1" ht="12.75" x14ac:dyDescent="0.2">
      <c r="C88" s="12"/>
      <c r="D88" s="15" t="s">
        <v>154</v>
      </c>
      <c r="E88" s="20" t="s">
        <v>155</v>
      </c>
      <c r="F88" s="17" t="s">
        <v>156</v>
      </c>
      <c r="G88" s="18">
        <f t="shared" si="0"/>
        <v>0</v>
      </c>
      <c r="H88" s="21"/>
      <c r="I88" s="21"/>
      <c r="J88" s="21"/>
      <c r="K88" s="21"/>
      <c r="L88" s="13"/>
      <c r="M88" s="19"/>
      <c r="P88" s="91">
        <v>490</v>
      </c>
    </row>
    <row r="89" spans="3:16" s="14" customFormat="1" ht="22.5" x14ac:dyDescent="0.2">
      <c r="C89" s="12"/>
      <c r="D89" s="15" t="s">
        <v>157</v>
      </c>
      <c r="E89" s="16" t="s">
        <v>93</v>
      </c>
      <c r="F89" s="17" t="s">
        <v>158</v>
      </c>
      <c r="G89" s="18">
        <f t="shared" si="0"/>
        <v>9.9055555555555549E-2</v>
      </c>
      <c r="H89" s="21"/>
      <c r="I89" s="21">
        <f>I50/720</f>
        <v>2.4446911111111108E-2</v>
      </c>
      <c r="J89" s="21">
        <f>J50/720</f>
        <v>3.2618994444444445E-2</v>
      </c>
      <c r="K89" s="21">
        <f>K50/720</f>
        <v>4.1989649999999996E-2</v>
      </c>
      <c r="L89" s="13"/>
      <c r="M89" s="19"/>
      <c r="P89" s="91"/>
    </row>
    <row r="90" spans="3:16" s="14" customFormat="1" ht="33.75" x14ac:dyDescent="0.2">
      <c r="C90" s="12"/>
      <c r="D90" s="15" t="s">
        <v>159</v>
      </c>
      <c r="E90" s="40" t="s">
        <v>96</v>
      </c>
      <c r="F90" s="17" t="s">
        <v>160</v>
      </c>
      <c r="G90" s="18">
        <f t="shared" si="0"/>
        <v>9.890277777777786E-3</v>
      </c>
      <c r="H90" s="18">
        <f>H87-H89</f>
        <v>2.4430555555555555E-3</v>
      </c>
      <c r="I90" s="18">
        <f>I87-I89</f>
        <v>1.4878088888888891E-2</v>
      </c>
      <c r="J90" s="18">
        <f>J87-J89</f>
        <v>1.7726722222222227E-3</v>
      </c>
      <c r="K90" s="18">
        <f>K87-K89</f>
        <v>-9.2035388888888833E-3</v>
      </c>
      <c r="L90" s="13"/>
      <c r="M90" s="19"/>
      <c r="P90" s="91"/>
    </row>
    <row r="91" spans="3:16" s="14" customFormat="1" ht="12.75" x14ac:dyDescent="0.2">
      <c r="C91" s="12"/>
      <c r="D91" s="15" t="s">
        <v>161</v>
      </c>
      <c r="E91" s="16" t="s">
        <v>99</v>
      </c>
      <c r="F91" s="17" t="s">
        <v>162</v>
      </c>
      <c r="G91" s="18">
        <f t="shared" si="0"/>
        <v>0</v>
      </c>
      <c r="H91" s="18">
        <f>(H54+H67+H72)-(H73+H84+H85+H86+H87)</f>
        <v>0</v>
      </c>
      <c r="I91" s="18">
        <f>(I54+I67+I72)-(I73+I84+I85+I86+I87)</f>
        <v>0</v>
      </c>
      <c r="J91" s="18">
        <f>(J54+J67+J72)-(J73+J84+J85+J86+J87)</f>
        <v>0</v>
      </c>
      <c r="K91" s="18">
        <f>(K54+K67+K72)-(K73+K84+K85+K86+K87)</f>
        <v>0</v>
      </c>
      <c r="L91" s="13"/>
      <c r="M91" s="19"/>
      <c r="P91" s="91">
        <v>500</v>
      </c>
    </row>
    <row r="92" spans="3:16" s="14" customFormat="1" ht="12.75" x14ac:dyDescent="0.2">
      <c r="C92" s="12"/>
      <c r="D92" s="111" t="s">
        <v>163</v>
      </c>
      <c r="E92" s="112"/>
      <c r="F92" s="112"/>
      <c r="G92" s="112"/>
      <c r="H92" s="112"/>
      <c r="I92" s="112"/>
      <c r="J92" s="112"/>
      <c r="K92" s="113"/>
      <c r="L92" s="13"/>
      <c r="M92" s="19"/>
      <c r="P92" s="92"/>
    </row>
    <row r="93" spans="3:16" s="14" customFormat="1" ht="12.75" x14ac:dyDescent="0.2">
      <c r="C93" s="12"/>
      <c r="D93" s="15" t="s">
        <v>164</v>
      </c>
      <c r="E93" s="16" t="s">
        <v>165</v>
      </c>
      <c r="F93" s="17" t="s">
        <v>166</v>
      </c>
      <c r="G93" s="18">
        <f t="shared" si="0"/>
        <v>0</v>
      </c>
      <c r="H93" s="21"/>
      <c r="I93" s="21"/>
      <c r="J93" s="21"/>
      <c r="K93" s="21"/>
      <c r="L93" s="13"/>
      <c r="M93" s="19"/>
      <c r="P93" s="91">
        <v>600</v>
      </c>
    </row>
    <row r="94" spans="3:16" s="14" customFormat="1" ht="12.75" x14ac:dyDescent="0.2">
      <c r="C94" s="12"/>
      <c r="D94" s="15" t="s">
        <v>167</v>
      </c>
      <c r="E94" s="16" t="s">
        <v>168</v>
      </c>
      <c r="F94" s="17" t="s">
        <v>169</v>
      </c>
      <c r="G94" s="18">
        <f t="shared" si="0"/>
        <v>25.006</v>
      </c>
      <c r="H94" s="21"/>
      <c r="I94" s="21">
        <v>25.006</v>
      </c>
      <c r="J94" s="21"/>
      <c r="K94" s="21"/>
      <c r="L94" s="13"/>
      <c r="M94" s="19"/>
      <c r="P94" s="91">
        <v>610</v>
      </c>
    </row>
    <row r="95" spans="3:16" s="14" customFormat="1" ht="12.75" x14ac:dyDescent="0.2">
      <c r="C95" s="12"/>
      <c r="D95" s="15" t="s">
        <v>170</v>
      </c>
      <c r="E95" s="16" t="s">
        <v>171</v>
      </c>
      <c r="F95" s="17" t="s">
        <v>172</v>
      </c>
      <c r="G95" s="18">
        <f t="shared" si="0"/>
        <v>0</v>
      </c>
      <c r="H95" s="21"/>
      <c r="I95" s="21"/>
      <c r="J95" s="21"/>
      <c r="K95" s="21"/>
      <c r="L95" s="13"/>
      <c r="M95" s="19"/>
      <c r="P95" s="91">
        <v>620</v>
      </c>
    </row>
    <row r="96" spans="3:16" s="14" customFormat="1" ht="12.75" x14ac:dyDescent="0.2">
      <c r="C96" s="12"/>
      <c r="D96" s="111" t="s">
        <v>173</v>
      </c>
      <c r="E96" s="112"/>
      <c r="F96" s="112"/>
      <c r="G96" s="112"/>
      <c r="H96" s="112"/>
      <c r="I96" s="112"/>
      <c r="J96" s="112"/>
      <c r="K96" s="113"/>
      <c r="L96" s="13"/>
      <c r="M96" s="19"/>
      <c r="P96" s="92"/>
    </row>
    <row r="97" spans="3:16" s="14" customFormat="1" ht="12.75" x14ac:dyDescent="0.2">
      <c r="C97" s="12"/>
      <c r="D97" s="15" t="s">
        <v>174</v>
      </c>
      <c r="E97" s="16" t="s">
        <v>175</v>
      </c>
      <c r="F97" s="17" t="s">
        <v>176</v>
      </c>
      <c r="G97" s="18">
        <f t="shared" si="0"/>
        <v>0</v>
      </c>
      <c r="H97" s="18">
        <f>SUM(H98:H99)</f>
        <v>0</v>
      </c>
      <c r="I97" s="18">
        <f>SUM(I98:I99)</f>
        <v>0</v>
      </c>
      <c r="J97" s="18">
        <f>SUM(J98:J99)</f>
        <v>0</v>
      </c>
      <c r="K97" s="18">
        <f>SUM(K98:K99)</f>
        <v>0</v>
      </c>
      <c r="L97" s="13"/>
      <c r="M97" s="19"/>
      <c r="P97" s="91">
        <v>700</v>
      </c>
    </row>
    <row r="98" spans="3:16" ht="12.75" x14ac:dyDescent="0.2">
      <c r="C98" s="2"/>
      <c r="D98" s="47" t="s">
        <v>177</v>
      </c>
      <c r="E98" s="20" t="s">
        <v>178</v>
      </c>
      <c r="F98" s="17" t="s">
        <v>179</v>
      </c>
      <c r="G98" s="18">
        <f t="shared" si="0"/>
        <v>0</v>
      </c>
      <c r="H98" s="48"/>
      <c r="I98" s="48"/>
      <c r="J98" s="48"/>
      <c r="K98" s="48"/>
      <c r="L98" s="8"/>
      <c r="M98" s="19"/>
      <c r="P98" s="91">
        <v>710</v>
      </c>
    </row>
    <row r="99" spans="3:16" ht="12.75" x14ac:dyDescent="0.2">
      <c r="C99" s="2"/>
      <c r="D99" s="47" t="s">
        <v>180</v>
      </c>
      <c r="E99" s="20" t="s">
        <v>181</v>
      </c>
      <c r="F99" s="17" t="s">
        <v>182</v>
      </c>
      <c r="G99" s="18">
        <f t="shared" si="0"/>
        <v>0</v>
      </c>
      <c r="H99" s="49">
        <f>H102</f>
        <v>0</v>
      </c>
      <c r="I99" s="49">
        <f>I102</f>
        <v>0</v>
      </c>
      <c r="J99" s="49">
        <f>J102</f>
        <v>0</v>
      </c>
      <c r="K99" s="49">
        <f>K102</f>
        <v>0</v>
      </c>
      <c r="L99" s="8"/>
      <c r="M99" s="19"/>
      <c r="P99" s="91">
        <v>720</v>
      </c>
    </row>
    <row r="100" spans="3:16" ht="12.75" x14ac:dyDescent="0.2">
      <c r="C100" s="2"/>
      <c r="D100" s="47" t="s">
        <v>183</v>
      </c>
      <c r="E100" s="42" t="s">
        <v>184</v>
      </c>
      <c r="F100" s="17" t="s">
        <v>185</v>
      </c>
      <c r="G100" s="18">
        <f t="shared" si="0"/>
        <v>0</v>
      </c>
      <c r="H100" s="48"/>
      <c r="I100" s="48"/>
      <c r="J100" s="48"/>
      <c r="K100" s="48"/>
      <c r="L100" s="8"/>
      <c r="M100" s="19"/>
      <c r="P100" s="91">
        <v>730</v>
      </c>
    </row>
    <row r="101" spans="3:16" ht="12.75" x14ac:dyDescent="0.2">
      <c r="C101" s="2"/>
      <c r="D101" s="47" t="s">
        <v>186</v>
      </c>
      <c r="E101" s="43" t="s">
        <v>187</v>
      </c>
      <c r="F101" s="17" t="s">
        <v>188</v>
      </c>
      <c r="G101" s="18">
        <f t="shared" si="0"/>
        <v>0</v>
      </c>
      <c r="H101" s="48"/>
      <c r="I101" s="48"/>
      <c r="J101" s="48"/>
      <c r="K101" s="48"/>
      <c r="L101" s="8"/>
      <c r="M101" s="19"/>
      <c r="P101" s="91"/>
    </row>
    <row r="102" spans="3:16" ht="12.75" x14ac:dyDescent="0.2">
      <c r="C102" s="2"/>
      <c r="D102" s="47" t="s">
        <v>189</v>
      </c>
      <c r="E102" s="42" t="s">
        <v>190</v>
      </c>
      <c r="F102" s="17" t="s">
        <v>191</v>
      </c>
      <c r="G102" s="18">
        <f t="shared" si="0"/>
        <v>0</v>
      </c>
      <c r="H102" s="48"/>
      <c r="I102" s="48"/>
      <c r="J102" s="48"/>
      <c r="K102" s="48"/>
      <c r="L102" s="8"/>
      <c r="M102" s="19"/>
      <c r="P102" s="91">
        <v>740</v>
      </c>
    </row>
    <row r="103" spans="3:16" ht="12.75" x14ac:dyDescent="0.2">
      <c r="C103" s="2"/>
      <c r="D103" s="47" t="s">
        <v>192</v>
      </c>
      <c r="E103" s="16" t="s">
        <v>193</v>
      </c>
      <c r="F103" s="17" t="s">
        <v>194</v>
      </c>
      <c r="G103" s="18">
        <f t="shared" si="0"/>
        <v>0</v>
      </c>
      <c r="H103" s="49">
        <f>H104+H120</f>
        <v>0</v>
      </c>
      <c r="I103" s="49">
        <f>I104+I120</f>
        <v>0</v>
      </c>
      <c r="J103" s="49">
        <f>J104+J120</f>
        <v>0</v>
      </c>
      <c r="K103" s="49">
        <f>K104+K120</f>
        <v>0</v>
      </c>
      <c r="L103" s="8"/>
      <c r="M103" s="19"/>
      <c r="P103" s="91">
        <v>750</v>
      </c>
    </row>
    <row r="104" spans="3:16" ht="12.75" x14ac:dyDescent="0.2">
      <c r="C104" s="2"/>
      <c r="D104" s="47" t="s">
        <v>195</v>
      </c>
      <c r="E104" s="20" t="s">
        <v>196</v>
      </c>
      <c r="F104" s="17" t="s">
        <v>197</v>
      </c>
      <c r="G104" s="18">
        <f t="shared" si="0"/>
        <v>0</v>
      </c>
      <c r="H104" s="49">
        <f>H105+H106</f>
        <v>0</v>
      </c>
      <c r="I104" s="49">
        <f>I105+I106</f>
        <v>0</v>
      </c>
      <c r="J104" s="49">
        <f>J105+J106</f>
        <v>0</v>
      </c>
      <c r="K104" s="49">
        <f>K105+K106</f>
        <v>0</v>
      </c>
      <c r="L104" s="8"/>
      <c r="M104" s="19"/>
      <c r="P104" s="91">
        <v>760</v>
      </c>
    </row>
    <row r="105" spans="3:16" ht="12.75" x14ac:dyDescent="0.2">
      <c r="C105" s="2"/>
      <c r="D105" s="47" t="s">
        <v>198</v>
      </c>
      <c r="E105" s="42" t="s">
        <v>199</v>
      </c>
      <c r="F105" s="17" t="s">
        <v>200</v>
      </c>
      <c r="G105" s="18">
        <f t="shared" si="0"/>
        <v>0</v>
      </c>
      <c r="H105" s="48"/>
      <c r="I105" s="48"/>
      <c r="J105" s="48"/>
      <c r="K105" s="48"/>
      <c r="L105" s="8"/>
      <c r="M105" s="19"/>
      <c r="P105" s="91"/>
    </row>
    <row r="106" spans="3:16" ht="12.75" x14ac:dyDescent="0.2">
      <c r="C106" s="2"/>
      <c r="D106" s="47" t="s">
        <v>201</v>
      </c>
      <c r="E106" s="42" t="s">
        <v>202</v>
      </c>
      <c r="F106" s="17" t="s">
        <v>203</v>
      </c>
      <c r="G106" s="18">
        <f t="shared" si="0"/>
        <v>0</v>
      </c>
      <c r="H106" s="49">
        <f>H107+H110+H113+H116+H117+H118+H119</f>
        <v>0</v>
      </c>
      <c r="I106" s="49">
        <f>I107+I110+I113+I116+I117+I118+I119</f>
        <v>0</v>
      </c>
      <c r="J106" s="49">
        <f>J107+J110+J113+J116+J117+J118+J119</f>
        <v>0</v>
      </c>
      <c r="K106" s="49">
        <f>K107+K110+K113+K116+K117+K118+K119</f>
        <v>0</v>
      </c>
      <c r="L106" s="8"/>
      <c r="M106" s="19"/>
      <c r="P106" s="91"/>
    </row>
    <row r="107" spans="3:16" ht="45" x14ac:dyDescent="0.2">
      <c r="C107" s="2"/>
      <c r="D107" s="47" t="s">
        <v>204</v>
      </c>
      <c r="E107" s="43" t="s">
        <v>205</v>
      </c>
      <c r="F107" s="17" t="s">
        <v>206</v>
      </c>
      <c r="G107" s="18">
        <f t="shared" si="0"/>
        <v>0</v>
      </c>
      <c r="H107" s="50">
        <f>H108+H109</f>
        <v>0</v>
      </c>
      <c r="I107" s="50">
        <f>I108+I109</f>
        <v>0</v>
      </c>
      <c r="J107" s="50">
        <f>J108+J109</f>
        <v>0</v>
      </c>
      <c r="K107" s="50">
        <f>K108+K109</f>
        <v>0</v>
      </c>
      <c r="L107" s="8"/>
      <c r="M107" s="19"/>
      <c r="P107" s="91"/>
    </row>
    <row r="108" spans="3:16" ht="12.75" x14ac:dyDescent="0.2">
      <c r="C108" s="2"/>
      <c r="D108" s="47" t="s">
        <v>207</v>
      </c>
      <c r="E108" s="51" t="s">
        <v>208</v>
      </c>
      <c r="F108" s="17" t="s">
        <v>209</v>
      </c>
      <c r="G108" s="18">
        <f t="shared" si="0"/>
        <v>0</v>
      </c>
      <c r="H108" s="48"/>
      <c r="I108" s="48"/>
      <c r="J108" s="48"/>
      <c r="K108" s="48"/>
      <c r="L108" s="8"/>
      <c r="M108" s="19"/>
      <c r="P108" s="91"/>
    </row>
    <row r="109" spans="3:16" ht="12.75" x14ac:dyDescent="0.2">
      <c r="C109" s="2"/>
      <c r="D109" s="47" t="s">
        <v>210</v>
      </c>
      <c r="E109" s="51" t="s">
        <v>211</v>
      </c>
      <c r="F109" s="17" t="s">
        <v>212</v>
      </c>
      <c r="G109" s="18">
        <f t="shared" si="0"/>
        <v>0</v>
      </c>
      <c r="H109" s="48"/>
      <c r="I109" s="48"/>
      <c r="J109" s="48"/>
      <c r="K109" s="48"/>
      <c r="L109" s="8"/>
      <c r="M109" s="19"/>
      <c r="P109" s="91"/>
    </row>
    <row r="110" spans="3:16" ht="45" x14ac:dyDescent="0.2">
      <c r="C110" s="2"/>
      <c r="D110" s="47" t="s">
        <v>213</v>
      </c>
      <c r="E110" s="43" t="s">
        <v>214</v>
      </c>
      <c r="F110" s="17" t="s">
        <v>215</v>
      </c>
      <c r="G110" s="18">
        <f t="shared" si="0"/>
        <v>0</v>
      </c>
      <c r="H110" s="50">
        <f>H111+H112</f>
        <v>0</v>
      </c>
      <c r="I110" s="50">
        <f>I111+I112</f>
        <v>0</v>
      </c>
      <c r="J110" s="50">
        <f>J111+J112</f>
        <v>0</v>
      </c>
      <c r="K110" s="50">
        <f>K111+K112</f>
        <v>0</v>
      </c>
      <c r="L110" s="8"/>
      <c r="M110" s="19"/>
      <c r="P110" s="91"/>
    </row>
    <row r="111" spans="3:16" ht="12.75" x14ac:dyDescent="0.2">
      <c r="C111" s="2"/>
      <c r="D111" s="47" t="s">
        <v>216</v>
      </c>
      <c r="E111" s="51" t="s">
        <v>208</v>
      </c>
      <c r="F111" s="17" t="s">
        <v>217</v>
      </c>
      <c r="G111" s="18">
        <f t="shared" si="0"/>
        <v>0</v>
      </c>
      <c r="H111" s="48"/>
      <c r="I111" s="48"/>
      <c r="J111" s="48"/>
      <c r="K111" s="48"/>
      <c r="L111" s="8"/>
      <c r="M111" s="19"/>
      <c r="P111" s="91"/>
    </row>
    <row r="112" spans="3:16" ht="12.75" x14ac:dyDescent="0.2">
      <c r="C112" s="2"/>
      <c r="D112" s="47" t="s">
        <v>218</v>
      </c>
      <c r="E112" s="51" t="s">
        <v>211</v>
      </c>
      <c r="F112" s="17" t="s">
        <v>219</v>
      </c>
      <c r="G112" s="18">
        <f t="shared" si="0"/>
        <v>0</v>
      </c>
      <c r="H112" s="48"/>
      <c r="I112" s="48"/>
      <c r="J112" s="48"/>
      <c r="K112" s="48"/>
      <c r="L112" s="8"/>
      <c r="M112" s="19"/>
      <c r="P112" s="91"/>
    </row>
    <row r="113" spans="3:16" ht="22.5" x14ac:dyDescent="0.2">
      <c r="C113" s="2"/>
      <c r="D113" s="47" t="s">
        <v>220</v>
      </c>
      <c r="E113" s="43" t="s">
        <v>221</v>
      </c>
      <c r="F113" s="17" t="s">
        <v>222</v>
      </c>
      <c r="G113" s="18">
        <f t="shared" si="0"/>
        <v>0</v>
      </c>
      <c r="H113" s="50">
        <f>H114+H115</f>
        <v>0</v>
      </c>
      <c r="I113" s="50">
        <f>I114+I115</f>
        <v>0</v>
      </c>
      <c r="J113" s="50">
        <f>J114+J115</f>
        <v>0</v>
      </c>
      <c r="K113" s="50">
        <f>K114+K115</f>
        <v>0</v>
      </c>
      <c r="L113" s="8"/>
      <c r="M113" s="19"/>
      <c r="P113" s="91"/>
    </row>
    <row r="114" spans="3:16" ht="12.75" x14ac:dyDescent="0.2">
      <c r="C114" s="2"/>
      <c r="D114" s="47" t="s">
        <v>223</v>
      </c>
      <c r="E114" s="51" t="s">
        <v>208</v>
      </c>
      <c r="F114" s="17" t="s">
        <v>224</v>
      </c>
      <c r="G114" s="18">
        <f t="shared" si="0"/>
        <v>0</v>
      </c>
      <c r="H114" s="48"/>
      <c r="I114" s="48"/>
      <c r="J114" s="48"/>
      <c r="K114" s="48"/>
      <c r="L114" s="8"/>
      <c r="M114" s="19"/>
      <c r="P114" s="91"/>
    </row>
    <row r="115" spans="3:16" ht="12.75" x14ac:dyDescent="0.2">
      <c r="C115" s="2"/>
      <c r="D115" s="47" t="s">
        <v>225</v>
      </c>
      <c r="E115" s="51" t="s">
        <v>211</v>
      </c>
      <c r="F115" s="17" t="s">
        <v>226</v>
      </c>
      <c r="G115" s="18">
        <f t="shared" si="0"/>
        <v>0</v>
      </c>
      <c r="H115" s="48"/>
      <c r="I115" s="48"/>
      <c r="J115" s="48"/>
      <c r="K115" s="48"/>
      <c r="L115" s="8"/>
      <c r="M115" s="19"/>
      <c r="P115" s="91"/>
    </row>
    <row r="116" spans="3:16" ht="22.5" x14ac:dyDescent="0.2">
      <c r="C116" s="2"/>
      <c r="D116" s="47" t="s">
        <v>227</v>
      </c>
      <c r="E116" s="43" t="s">
        <v>228</v>
      </c>
      <c r="F116" s="17" t="s">
        <v>229</v>
      </c>
      <c r="G116" s="18">
        <f t="shared" si="0"/>
        <v>0</v>
      </c>
      <c r="H116" s="48"/>
      <c r="I116" s="48"/>
      <c r="J116" s="48"/>
      <c r="K116" s="48"/>
      <c r="L116" s="8"/>
      <c r="M116" s="19"/>
      <c r="P116" s="91"/>
    </row>
    <row r="117" spans="3:16" ht="12.75" x14ac:dyDescent="0.2">
      <c r="C117" s="2"/>
      <c r="D117" s="47" t="s">
        <v>230</v>
      </c>
      <c r="E117" s="43" t="s">
        <v>231</v>
      </c>
      <c r="F117" s="17" t="s">
        <v>232</v>
      </c>
      <c r="G117" s="18">
        <f t="shared" si="0"/>
        <v>0</v>
      </c>
      <c r="H117" s="48"/>
      <c r="I117" s="48"/>
      <c r="J117" s="48"/>
      <c r="K117" s="48"/>
      <c r="L117" s="8"/>
      <c r="M117" s="19"/>
      <c r="P117" s="91"/>
    </row>
    <row r="118" spans="3:16" ht="45" x14ac:dyDescent="0.2">
      <c r="C118" s="2"/>
      <c r="D118" s="47" t="s">
        <v>233</v>
      </c>
      <c r="E118" s="43" t="s">
        <v>234</v>
      </c>
      <c r="F118" s="17" t="s">
        <v>235</v>
      </c>
      <c r="G118" s="18">
        <f t="shared" si="0"/>
        <v>0</v>
      </c>
      <c r="H118" s="48"/>
      <c r="I118" s="48"/>
      <c r="J118" s="48"/>
      <c r="K118" s="48"/>
      <c r="L118" s="8"/>
      <c r="M118" s="19"/>
      <c r="P118" s="91"/>
    </row>
    <row r="119" spans="3:16" ht="22.5" x14ac:dyDescent="0.2">
      <c r="C119" s="2"/>
      <c r="D119" s="47" t="s">
        <v>236</v>
      </c>
      <c r="E119" s="43" t="s">
        <v>237</v>
      </c>
      <c r="F119" s="17" t="s">
        <v>238</v>
      </c>
      <c r="G119" s="18">
        <f t="shared" si="0"/>
        <v>0</v>
      </c>
      <c r="H119" s="48"/>
      <c r="I119" s="48"/>
      <c r="J119" s="48"/>
      <c r="K119" s="48"/>
      <c r="L119" s="8"/>
      <c r="M119" s="19"/>
      <c r="P119" s="91"/>
    </row>
    <row r="120" spans="3:16" ht="12.75" x14ac:dyDescent="0.2">
      <c r="C120" s="2"/>
      <c r="D120" s="47" t="s">
        <v>239</v>
      </c>
      <c r="E120" s="20" t="s">
        <v>240</v>
      </c>
      <c r="F120" s="17" t="s">
        <v>241</v>
      </c>
      <c r="G120" s="18">
        <f t="shared" si="0"/>
        <v>0</v>
      </c>
      <c r="H120" s="49">
        <f>H123</f>
        <v>0</v>
      </c>
      <c r="I120" s="49">
        <f>I123</f>
        <v>0</v>
      </c>
      <c r="J120" s="49">
        <f>J123</f>
        <v>0</v>
      </c>
      <c r="K120" s="49">
        <f>K123</f>
        <v>0</v>
      </c>
      <c r="L120" s="8"/>
      <c r="M120" s="19"/>
      <c r="P120" s="91">
        <v>770</v>
      </c>
    </row>
    <row r="121" spans="3:16" ht="12.75" x14ac:dyDescent="0.2">
      <c r="C121" s="2"/>
      <c r="D121" s="47" t="s">
        <v>242</v>
      </c>
      <c r="E121" s="42" t="s">
        <v>184</v>
      </c>
      <c r="F121" s="17" t="s">
        <v>243</v>
      </c>
      <c r="G121" s="18">
        <f t="shared" si="0"/>
        <v>0</v>
      </c>
      <c r="H121" s="48"/>
      <c r="I121" s="48"/>
      <c r="J121" s="48"/>
      <c r="K121" s="48"/>
      <c r="L121" s="8"/>
      <c r="M121" s="19"/>
      <c r="P121" s="91">
        <v>780</v>
      </c>
    </row>
    <row r="122" spans="3:16" ht="12.75" x14ac:dyDescent="0.2">
      <c r="C122" s="2"/>
      <c r="D122" s="47" t="s">
        <v>244</v>
      </c>
      <c r="E122" s="43" t="s">
        <v>245</v>
      </c>
      <c r="F122" s="17" t="s">
        <v>246</v>
      </c>
      <c r="G122" s="18">
        <f t="shared" si="0"/>
        <v>0</v>
      </c>
      <c r="H122" s="48"/>
      <c r="I122" s="48"/>
      <c r="J122" s="48"/>
      <c r="K122" s="48"/>
      <c r="L122" s="8"/>
      <c r="M122" s="19"/>
      <c r="P122" s="91"/>
    </row>
    <row r="123" spans="3:16" ht="12.75" x14ac:dyDescent="0.2">
      <c r="C123" s="2"/>
      <c r="D123" s="47" t="s">
        <v>247</v>
      </c>
      <c r="E123" s="42" t="s">
        <v>190</v>
      </c>
      <c r="F123" s="17" t="s">
        <v>248</v>
      </c>
      <c r="G123" s="18">
        <f t="shared" si="0"/>
        <v>0</v>
      </c>
      <c r="H123" s="48"/>
      <c r="I123" s="48"/>
      <c r="J123" s="48"/>
      <c r="K123" s="48"/>
      <c r="L123" s="8"/>
      <c r="M123" s="19"/>
      <c r="P123" s="91">
        <v>790</v>
      </c>
    </row>
    <row r="124" spans="3:16" ht="22.5" x14ac:dyDescent="0.2">
      <c r="C124" s="2"/>
      <c r="D124" s="47" t="s">
        <v>249</v>
      </c>
      <c r="E124" s="40" t="s">
        <v>250</v>
      </c>
      <c r="F124" s="17" t="s">
        <v>251</v>
      </c>
      <c r="G124" s="18">
        <f t="shared" si="0"/>
        <v>5219.8530000000001</v>
      </c>
      <c r="H124" s="49">
        <f>SUM(H125:H126)</f>
        <v>1.7589999999999999</v>
      </c>
      <c r="I124" s="49">
        <f>SUM(I125:I126)</f>
        <v>3189.473</v>
      </c>
      <c r="J124" s="49">
        <f>SUM(J125:J126)</f>
        <v>1203.1690000000001</v>
      </c>
      <c r="K124" s="49">
        <f>SUM(K125:K126)</f>
        <v>825.452</v>
      </c>
      <c r="L124" s="8"/>
      <c r="M124" s="19"/>
      <c r="P124" s="91"/>
    </row>
    <row r="125" spans="3:16" ht="12.75" x14ac:dyDescent="0.2">
      <c r="C125" s="2"/>
      <c r="D125" s="47" t="s">
        <v>252</v>
      </c>
      <c r="E125" s="20" t="s">
        <v>178</v>
      </c>
      <c r="F125" s="17" t="s">
        <v>253</v>
      </c>
      <c r="G125" s="18">
        <f t="shared" si="0"/>
        <v>0</v>
      </c>
      <c r="H125" s="48"/>
      <c r="I125" s="48"/>
      <c r="J125" s="48"/>
      <c r="K125" s="48"/>
      <c r="L125" s="8"/>
      <c r="M125" s="19"/>
      <c r="P125" s="91"/>
    </row>
    <row r="126" spans="3:16" ht="12.75" x14ac:dyDescent="0.2">
      <c r="C126" s="2"/>
      <c r="D126" s="47" t="s">
        <v>254</v>
      </c>
      <c r="E126" s="20" t="s">
        <v>181</v>
      </c>
      <c r="F126" s="17" t="s">
        <v>255</v>
      </c>
      <c r="G126" s="18">
        <f t="shared" si="0"/>
        <v>5219.8530000000001</v>
      </c>
      <c r="H126" s="49">
        <f>H128</f>
        <v>1.7589999999999999</v>
      </c>
      <c r="I126" s="49">
        <f>I128</f>
        <v>3189.473</v>
      </c>
      <c r="J126" s="49">
        <f>J128</f>
        <v>1203.1690000000001</v>
      </c>
      <c r="K126" s="49">
        <f>K128</f>
        <v>825.452</v>
      </c>
      <c r="L126" s="8"/>
      <c r="M126" s="19"/>
      <c r="P126" s="91"/>
    </row>
    <row r="127" spans="3:16" ht="12.75" x14ac:dyDescent="0.2">
      <c r="C127" s="2"/>
      <c r="D127" s="47" t="s">
        <v>256</v>
      </c>
      <c r="E127" s="42" t="s">
        <v>257</v>
      </c>
      <c r="F127" s="17" t="s">
        <v>258</v>
      </c>
      <c r="G127" s="18">
        <f t="shared" si="0"/>
        <v>25.006</v>
      </c>
      <c r="H127" s="48"/>
      <c r="I127" s="48">
        <f>I94</f>
        <v>25.006</v>
      </c>
      <c r="J127" s="48"/>
      <c r="K127" s="48"/>
      <c r="L127" s="8"/>
      <c r="M127" s="19"/>
      <c r="P127" s="91"/>
    </row>
    <row r="128" spans="3:16" ht="12.75" x14ac:dyDescent="0.2">
      <c r="C128" s="2"/>
      <c r="D128" s="47" t="s">
        <v>259</v>
      </c>
      <c r="E128" s="42" t="s">
        <v>190</v>
      </c>
      <c r="F128" s="17" t="s">
        <v>260</v>
      </c>
      <c r="G128" s="18">
        <f t="shared" si="0"/>
        <v>5219.8530000000001</v>
      </c>
      <c r="H128" s="48">
        <f>H48</f>
        <v>1.7589999999999999</v>
      </c>
      <c r="I128" s="48">
        <f>I34+75.128</f>
        <v>3189.473</v>
      </c>
      <c r="J128" s="48">
        <f>J34+1.554</f>
        <v>1203.1690000000001</v>
      </c>
      <c r="K128" s="48">
        <f>K34</f>
        <v>825.452</v>
      </c>
      <c r="L128" s="8"/>
      <c r="M128" s="19"/>
      <c r="P128" s="91"/>
    </row>
    <row r="129" spans="3:16" ht="12.75" x14ac:dyDescent="0.2">
      <c r="C129" s="2"/>
      <c r="D129" s="111" t="s">
        <v>261</v>
      </c>
      <c r="E129" s="112"/>
      <c r="F129" s="112"/>
      <c r="G129" s="112"/>
      <c r="H129" s="112"/>
      <c r="I129" s="112"/>
      <c r="J129" s="112"/>
      <c r="K129" s="113"/>
      <c r="L129" s="8"/>
      <c r="M129" s="19"/>
      <c r="P129" s="93"/>
    </row>
    <row r="130" spans="3:16" ht="22.5" x14ac:dyDescent="0.2">
      <c r="C130" s="2"/>
      <c r="D130" s="47" t="s">
        <v>262</v>
      </c>
      <c r="E130" s="16" t="s">
        <v>263</v>
      </c>
      <c r="F130" s="17" t="s">
        <v>264</v>
      </c>
      <c r="G130" s="18">
        <f t="shared" si="0"/>
        <v>0</v>
      </c>
      <c r="H130" s="49">
        <f>SUM( H131:H132)</f>
        <v>0</v>
      </c>
      <c r="I130" s="49">
        <f>SUM( I131:I132)</f>
        <v>0</v>
      </c>
      <c r="J130" s="49">
        <f>SUM( J131:J132)</f>
        <v>0</v>
      </c>
      <c r="K130" s="49">
        <f>SUM( K131:K132)</f>
        <v>0</v>
      </c>
      <c r="L130" s="8"/>
      <c r="M130" s="19"/>
      <c r="P130" s="91">
        <v>800</v>
      </c>
    </row>
    <row r="131" spans="3:16" ht="12.75" x14ac:dyDescent="0.2">
      <c r="C131" s="2"/>
      <c r="D131" s="47" t="s">
        <v>265</v>
      </c>
      <c r="E131" s="20" t="s">
        <v>178</v>
      </c>
      <c r="F131" s="17" t="s">
        <v>266</v>
      </c>
      <c r="G131" s="18">
        <f t="shared" si="0"/>
        <v>0</v>
      </c>
      <c r="H131" s="48"/>
      <c r="I131" s="48"/>
      <c r="J131" s="48"/>
      <c r="K131" s="48"/>
      <c r="L131" s="8"/>
      <c r="M131" s="19"/>
      <c r="P131" s="91">
        <v>810</v>
      </c>
    </row>
    <row r="132" spans="3:16" ht="12.75" x14ac:dyDescent="0.2">
      <c r="C132" s="2"/>
      <c r="D132" s="47" t="s">
        <v>267</v>
      </c>
      <c r="E132" s="20" t="s">
        <v>181</v>
      </c>
      <c r="F132" s="17" t="s">
        <v>268</v>
      </c>
      <c r="G132" s="18">
        <f t="shared" si="0"/>
        <v>0</v>
      </c>
      <c r="H132" s="49">
        <f>H133+H135</f>
        <v>0</v>
      </c>
      <c r="I132" s="49">
        <f>I133+I135</f>
        <v>0</v>
      </c>
      <c r="J132" s="49">
        <f>J133+J135</f>
        <v>0</v>
      </c>
      <c r="K132" s="49">
        <f>K133+K135</f>
        <v>0</v>
      </c>
      <c r="L132" s="8"/>
      <c r="M132" s="19"/>
      <c r="P132" s="91">
        <v>820</v>
      </c>
    </row>
    <row r="133" spans="3:16" ht="12.75" x14ac:dyDescent="0.2">
      <c r="C133" s="2"/>
      <c r="D133" s="47" t="s">
        <v>269</v>
      </c>
      <c r="E133" s="42" t="s">
        <v>270</v>
      </c>
      <c r="F133" s="17" t="s">
        <v>271</v>
      </c>
      <c r="G133" s="18">
        <f t="shared" si="0"/>
        <v>0</v>
      </c>
      <c r="H133" s="48"/>
      <c r="I133" s="48"/>
      <c r="J133" s="48"/>
      <c r="K133" s="48"/>
      <c r="L133" s="8"/>
      <c r="M133" s="19"/>
      <c r="P133" s="91">
        <v>830</v>
      </c>
    </row>
    <row r="134" spans="3:16" ht="12.75" x14ac:dyDescent="0.2">
      <c r="C134" s="2"/>
      <c r="D134" s="47" t="s">
        <v>272</v>
      </c>
      <c r="E134" s="43" t="s">
        <v>273</v>
      </c>
      <c r="F134" s="17" t="s">
        <v>274</v>
      </c>
      <c r="G134" s="18">
        <f t="shared" si="0"/>
        <v>0</v>
      </c>
      <c r="H134" s="48"/>
      <c r="I134" s="48"/>
      <c r="J134" s="48"/>
      <c r="K134" s="48"/>
      <c r="L134" s="8"/>
      <c r="M134" s="19"/>
      <c r="P134" s="93"/>
    </row>
    <row r="135" spans="3:16" ht="12.75" x14ac:dyDescent="0.2">
      <c r="C135" s="2"/>
      <c r="D135" s="47" t="s">
        <v>275</v>
      </c>
      <c r="E135" s="42" t="s">
        <v>276</v>
      </c>
      <c r="F135" s="17" t="s">
        <v>277</v>
      </c>
      <c r="G135" s="18">
        <f t="shared" si="0"/>
        <v>0</v>
      </c>
      <c r="H135" s="48"/>
      <c r="I135" s="48"/>
      <c r="J135" s="48"/>
      <c r="K135" s="48"/>
      <c r="L135" s="8"/>
      <c r="M135" s="19"/>
      <c r="P135" s="91">
        <v>840</v>
      </c>
    </row>
    <row r="136" spans="3:16" ht="12.75" x14ac:dyDescent="0.2">
      <c r="C136" s="2"/>
      <c r="D136" s="47" t="s">
        <v>19</v>
      </c>
      <c r="E136" s="16" t="s">
        <v>278</v>
      </c>
      <c r="F136" s="17" t="s">
        <v>279</v>
      </c>
      <c r="G136" s="18">
        <f t="shared" si="0"/>
        <v>0</v>
      </c>
      <c r="H136" s="50">
        <f>SUM( H137+H142)</f>
        <v>0</v>
      </c>
      <c r="I136" s="50">
        <f>SUM( I137+I142)</f>
        <v>0</v>
      </c>
      <c r="J136" s="50">
        <f>SUM( J137+J142)</f>
        <v>0</v>
      </c>
      <c r="K136" s="50">
        <f>SUM( K137+K142)</f>
        <v>0</v>
      </c>
      <c r="L136" s="52"/>
      <c r="M136" s="19"/>
      <c r="P136" s="91">
        <v>850</v>
      </c>
    </row>
    <row r="137" spans="3:16" ht="12.75" x14ac:dyDescent="0.2">
      <c r="C137" s="2"/>
      <c r="D137" s="47" t="s">
        <v>280</v>
      </c>
      <c r="E137" s="20" t="s">
        <v>178</v>
      </c>
      <c r="F137" s="17" t="s">
        <v>281</v>
      </c>
      <c r="G137" s="18">
        <f t="shared" ref="G137:G150" si="1">SUM(H137:K137)</f>
        <v>0</v>
      </c>
      <c r="H137" s="50">
        <f>SUM( H138:H139)</f>
        <v>0</v>
      </c>
      <c r="I137" s="50">
        <f>SUM( I138:I139)</f>
        <v>0</v>
      </c>
      <c r="J137" s="50">
        <f>SUM( J138:J139)</f>
        <v>0</v>
      </c>
      <c r="K137" s="50">
        <f>SUM( K138:K139)</f>
        <v>0</v>
      </c>
      <c r="L137" s="52"/>
      <c r="M137" s="19"/>
      <c r="P137" s="91">
        <v>860</v>
      </c>
    </row>
    <row r="138" spans="3:16" ht="12.75" x14ac:dyDescent="0.2">
      <c r="C138" s="2"/>
      <c r="D138" s="47" t="s">
        <v>282</v>
      </c>
      <c r="E138" s="42" t="s">
        <v>199</v>
      </c>
      <c r="F138" s="17" t="s">
        <v>283</v>
      </c>
      <c r="G138" s="18">
        <f t="shared" si="1"/>
        <v>0</v>
      </c>
      <c r="H138" s="53"/>
      <c r="I138" s="53"/>
      <c r="J138" s="53"/>
      <c r="K138" s="53"/>
      <c r="L138" s="52"/>
      <c r="M138" s="19"/>
      <c r="P138" s="91"/>
    </row>
    <row r="139" spans="3:16" ht="12.75" x14ac:dyDescent="0.2">
      <c r="C139" s="2"/>
      <c r="D139" s="47" t="s">
        <v>284</v>
      </c>
      <c r="E139" s="42" t="s">
        <v>202</v>
      </c>
      <c r="F139" s="17" t="s">
        <v>285</v>
      </c>
      <c r="G139" s="18">
        <f t="shared" si="1"/>
        <v>0</v>
      </c>
      <c r="H139" s="50">
        <f>H140+H141</f>
        <v>0</v>
      </c>
      <c r="I139" s="50">
        <f>I140+I141</f>
        <v>0</v>
      </c>
      <c r="J139" s="50">
        <f>J140+J141</f>
        <v>0</v>
      </c>
      <c r="K139" s="50">
        <f>K140+K141</f>
        <v>0</v>
      </c>
      <c r="L139" s="52"/>
      <c r="M139" s="19"/>
      <c r="P139" s="91"/>
    </row>
    <row r="140" spans="3:16" ht="12.75" x14ac:dyDescent="0.2">
      <c r="C140" s="2"/>
      <c r="D140" s="47" t="s">
        <v>286</v>
      </c>
      <c r="E140" s="43" t="s">
        <v>208</v>
      </c>
      <c r="F140" s="17" t="s">
        <v>287</v>
      </c>
      <c r="G140" s="18">
        <f t="shared" si="1"/>
        <v>0</v>
      </c>
      <c r="H140" s="53"/>
      <c r="I140" s="53"/>
      <c r="J140" s="53"/>
      <c r="K140" s="53"/>
      <c r="L140" s="52"/>
      <c r="M140" s="19"/>
      <c r="P140" s="91"/>
    </row>
    <row r="141" spans="3:16" ht="12.75" x14ac:dyDescent="0.2">
      <c r="C141" s="2"/>
      <c r="D141" s="47" t="s">
        <v>288</v>
      </c>
      <c r="E141" s="43" t="s">
        <v>289</v>
      </c>
      <c r="F141" s="17" t="s">
        <v>290</v>
      </c>
      <c r="G141" s="18">
        <f t="shared" si="1"/>
        <v>0</v>
      </c>
      <c r="H141" s="53"/>
      <c r="I141" s="53"/>
      <c r="J141" s="53"/>
      <c r="K141" s="53"/>
      <c r="L141" s="52"/>
      <c r="M141" s="19"/>
      <c r="P141" s="91"/>
    </row>
    <row r="142" spans="3:16" ht="12.75" x14ac:dyDescent="0.2">
      <c r="C142" s="2"/>
      <c r="D142" s="47" t="s">
        <v>291</v>
      </c>
      <c r="E142" s="20" t="s">
        <v>240</v>
      </c>
      <c r="F142" s="17" t="s">
        <v>292</v>
      </c>
      <c r="G142" s="18">
        <f t="shared" si="1"/>
        <v>0</v>
      </c>
      <c r="H142" s="50">
        <f>H143+H145</f>
        <v>0</v>
      </c>
      <c r="I142" s="50">
        <f>I143+I145</f>
        <v>0</v>
      </c>
      <c r="J142" s="50">
        <f>J143+J145</f>
        <v>0</v>
      </c>
      <c r="K142" s="50">
        <f>K143+K145</f>
        <v>0</v>
      </c>
      <c r="L142" s="52"/>
      <c r="M142" s="19"/>
      <c r="P142" s="91">
        <v>870</v>
      </c>
    </row>
    <row r="143" spans="3:16" ht="12.75" x14ac:dyDescent="0.2">
      <c r="C143" s="2"/>
      <c r="D143" s="47" t="s">
        <v>293</v>
      </c>
      <c r="E143" s="42" t="s">
        <v>270</v>
      </c>
      <c r="F143" s="17" t="s">
        <v>294</v>
      </c>
      <c r="G143" s="18">
        <f t="shared" si="1"/>
        <v>0</v>
      </c>
      <c r="H143" s="48"/>
      <c r="I143" s="48"/>
      <c r="J143" s="48"/>
      <c r="K143" s="48"/>
      <c r="L143" s="52"/>
      <c r="M143" s="19"/>
      <c r="P143" s="91">
        <v>880</v>
      </c>
    </row>
    <row r="144" spans="3:16" ht="12.75" x14ac:dyDescent="0.2">
      <c r="C144" s="2"/>
      <c r="D144" s="47" t="s">
        <v>295</v>
      </c>
      <c r="E144" s="43" t="s">
        <v>273</v>
      </c>
      <c r="F144" s="17" t="s">
        <v>296</v>
      </c>
      <c r="G144" s="18">
        <f t="shared" si="1"/>
        <v>0</v>
      </c>
      <c r="H144" s="48"/>
      <c r="I144" s="48"/>
      <c r="J144" s="48"/>
      <c r="K144" s="48"/>
      <c r="L144" s="52"/>
      <c r="M144" s="19"/>
      <c r="P144" s="91"/>
    </row>
    <row r="145" spans="3:19" ht="12.75" x14ac:dyDescent="0.2">
      <c r="C145" s="2"/>
      <c r="D145" s="47" t="s">
        <v>297</v>
      </c>
      <c r="E145" s="42" t="s">
        <v>276</v>
      </c>
      <c r="F145" s="17" t="s">
        <v>298</v>
      </c>
      <c r="G145" s="18">
        <f t="shared" si="1"/>
        <v>0</v>
      </c>
      <c r="H145" s="54"/>
      <c r="I145" s="54"/>
      <c r="J145" s="54"/>
      <c r="K145" s="54"/>
      <c r="L145" s="52"/>
      <c r="M145" s="19"/>
      <c r="P145" s="91">
        <v>890</v>
      </c>
    </row>
    <row r="146" spans="3:19" ht="22.5" x14ac:dyDescent="0.2">
      <c r="C146" s="2"/>
      <c r="D146" s="47" t="s">
        <v>299</v>
      </c>
      <c r="E146" s="16" t="s">
        <v>300</v>
      </c>
      <c r="F146" s="17" t="s">
        <v>301</v>
      </c>
      <c r="G146" s="18">
        <f t="shared" si="1"/>
        <v>3547.5878219519996</v>
      </c>
      <c r="H146" s="55">
        <f>SUM( H147:H148)</f>
        <v>0.18765012</v>
      </c>
      <c r="I146" s="55">
        <f>SUM( I147:I148)</f>
        <v>3330.9868835519997</v>
      </c>
      <c r="J146" s="55">
        <f>SUM( J147:J148)</f>
        <v>128.35406892000003</v>
      </c>
      <c r="K146" s="55">
        <f>SUM( K147:K148)</f>
        <v>88.059219360000014</v>
      </c>
      <c r="L146" s="52"/>
      <c r="M146" s="19"/>
      <c r="P146" s="91">
        <v>900</v>
      </c>
    </row>
    <row r="147" spans="3:19" ht="12.75" x14ac:dyDescent="0.2">
      <c r="C147" s="2"/>
      <c r="D147" s="47" t="s">
        <v>302</v>
      </c>
      <c r="E147" s="20" t="s">
        <v>178</v>
      </c>
      <c r="F147" s="17" t="s">
        <v>303</v>
      </c>
      <c r="G147" s="18">
        <f t="shared" si="1"/>
        <v>0</v>
      </c>
      <c r="H147" s="54"/>
      <c r="I147" s="54"/>
      <c r="J147" s="54"/>
      <c r="K147" s="54"/>
      <c r="L147" s="52"/>
      <c r="M147" s="19"/>
      <c r="P147" s="91"/>
    </row>
    <row r="148" spans="3:19" ht="12.75" x14ac:dyDescent="0.2">
      <c r="C148" s="2"/>
      <c r="D148" s="47" t="s">
        <v>304</v>
      </c>
      <c r="E148" s="20" t="s">
        <v>181</v>
      </c>
      <c r="F148" s="17" t="s">
        <v>305</v>
      </c>
      <c r="G148" s="18">
        <f t="shared" si="1"/>
        <v>3547.5878219519996</v>
      </c>
      <c r="H148" s="55">
        <f>H149+H150</f>
        <v>0.18765012</v>
      </c>
      <c r="I148" s="55">
        <f>I149+I150</f>
        <v>3330.9868835519997</v>
      </c>
      <c r="J148" s="55">
        <f>J149+J150</f>
        <v>128.35406892000003</v>
      </c>
      <c r="K148" s="55">
        <f>K149+K150</f>
        <v>88.059219360000014</v>
      </c>
      <c r="L148" s="52"/>
      <c r="M148" s="19"/>
      <c r="P148" s="91"/>
    </row>
    <row r="149" spans="3:19" ht="12.75" x14ac:dyDescent="0.2">
      <c r="C149" s="2"/>
      <c r="D149" s="47" t="s">
        <v>306</v>
      </c>
      <c r="E149" s="42" t="s">
        <v>307</v>
      </c>
      <c r="F149" s="17" t="s">
        <v>308</v>
      </c>
      <c r="G149" s="18">
        <f t="shared" si="1"/>
        <v>2990.7339039119997</v>
      </c>
      <c r="H149" s="54"/>
      <c r="I149" s="54">
        <f>I127*99667.21/1000*1.2</f>
        <v>2990.7339039119997</v>
      </c>
      <c r="J149" s="54"/>
      <c r="K149" s="54"/>
      <c r="L149" s="52"/>
      <c r="M149" s="19"/>
      <c r="P149" s="91" t="s">
        <v>338</v>
      </c>
    </row>
    <row r="150" spans="3:19" ht="12.75" x14ac:dyDescent="0.2">
      <c r="C150" s="2"/>
      <c r="D150" s="47" t="s">
        <v>309</v>
      </c>
      <c r="E150" s="42" t="s">
        <v>276</v>
      </c>
      <c r="F150" s="17" t="s">
        <v>310</v>
      </c>
      <c r="G150" s="18">
        <f t="shared" si="1"/>
        <v>556.85391804000005</v>
      </c>
      <c r="H150" s="54">
        <f>H128*88.9/1000*1.2</f>
        <v>0.18765012</v>
      </c>
      <c r="I150" s="54">
        <f>I128*88.9/1000*1.2</f>
        <v>340.25297963999998</v>
      </c>
      <c r="J150" s="54">
        <f>J128*88.9/1000*1.2</f>
        <v>128.35406892000003</v>
      </c>
      <c r="K150" s="54">
        <f>K128*88.9/1000*1.2</f>
        <v>88.059219360000014</v>
      </c>
      <c r="L150" s="52"/>
      <c r="M150" s="19"/>
      <c r="P150" s="91" t="s">
        <v>339</v>
      </c>
    </row>
    <row r="151" spans="3:19" x14ac:dyDescent="0.25">
      <c r="D151" s="6"/>
      <c r="E151" s="56"/>
      <c r="F151" s="56"/>
      <c r="G151" s="56"/>
      <c r="H151" s="56"/>
      <c r="I151" s="56"/>
      <c r="J151" s="56"/>
      <c r="K151" s="57"/>
      <c r="L151" s="57"/>
      <c r="M151" s="57"/>
      <c r="N151" s="57"/>
      <c r="O151" s="57"/>
      <c r="P151" s="57"/>
      <c r="Q151" s="57"/>
      <c r="R151" s="94"/>
      <c r="S151" s="94"/>
    </row>
    <row r="152" spans="3:19" ht="12.75" x14ac:dyDescent="0.2">
      <c r="E152" s="19" t="s">
        <v>311</v>
      </c>
      <c r="F152" s="103" t="str">
        <f>IF([6]Титульный!G45="","",[6]Титульный!G45)</f>
        <v>экономист</v>
      </c>
      <c r="G152" s="103"/>
      <c r="H152" s="58"/>
      <c r="I152" s="103" t="str">
        <f>IF([6]Титульный!G44="","",[6]Титульный!G44)</f>
        <v>Кривнева Е. В.</v>
      </c>
      <c r="J152" s="103"/>
      <c r="K152" s="103"/>
      <c r="L152" s="58"/>
      <c r="M152" s="59"/>
      <c r="N152" s="59"/>
      <c r="O152" s="61"/>
      <c r="P152" s="57"/>
      <c r="Q152" s="57"/>
      <c r="R152" s="94"/>
      <c r="S152" s="94"/>
    </row>
    <row r="153" spans="3:19" ht="12.75" x14ac:dyDescent="0.2">
      <c r="E153" s="60" t="s">
        <v>312</v>
      </c>
      <c r="F153" s="102" t="s">
        <v>313</v>
      </c>
      <c r="G153" s="102"/>
      <c r="H153" s="61"/>
      <c r="I153" s="102" t="s">
        <v>314</v>
      </c>
      <c r="J153" s="102"/>
      <c r="K153" s="102"/>
      <c r="L153" s="61"/>
      <c r="M153" s="102" t="s">
        <v>315</v>
      </c>
      <c r="N153" s="102"/>
      <c r="O153" s="19"/>
      <c r="P153" s="57"/>
      <c r="Q153" s="57"/>
      <c r="R153" s="94"/>
      <c r="S153" s="94"/>
    </row>
    <row r="154" spans="3:19" ht="12.75" x14ac:dyDescent="0.2">
      <c r="E154" s="60" t="s">
        <v>316</v>
      </c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57"/>
      <c r="Q154" s="57"/>
      <c r="R154" s="94"/>
      <c r="S154" s="94"/>
    </row>
    <row r="155" spans="3:19" ht="12.75" x14ac:dyDescent="0.2">
      <c r="E155" s="60" t="s">
        <v>317</v>
      </c>
      <c r="F155" s="103" t="str">
        <f>IF([6]Титульный!G46="","",[6]Титульный!G46)</f>
        <v>(861) 258-50-71</v>
      </c>
      <c r="G155" s="103"/>
      <c r="H155" s="103"/>
      <c r="I155" s="19"/>
      <c r="J155" s="60" t="s">
        <v>318</v>
      </c>
      <c r="K155" s="84"/>
      <c r="L155" s="19"/>
      <c r="M155" s="19"/>
      <c r="N155" s="19"/>
      <c r="O155" s="19"/>
      <c r="P155" s="57"/>
      <c r="Q155" s="57"/>
      <c r="R155" s="94"/>
      <c r="S155" s="94"/>
    </row>
    <row r="156" spans="3:19" ht="12.75" x14ac:dyDescent="0.2">
      <c r="E156" s="19" t="s">
        <v>319</v>
      </c>
      <c r="F156" s="104" t="s">
        <v>320</v>
      </c>
      <c r="G156" s="104"/>
      <c r="H156" s="104"/>
      <c r="I156" s="19"/>
      <c r="J156" s="63" t="s">
        <v>321</v>
      </c>
      <c r="K156" s="63"/>
      <c r="L156" s="19"/>
      <c r="M156" s="19"/>
      <c r="N156" s="19"/>
      <c r="O156" s="19"/>
      <c r="P156" s="57"/>
      <c r="Q156" s="57"/>
      <c r="R156" s="94"/>
      <c r="S156" s="94"/>
    </row>
    <row r="157" spans="3:19" x14ac:dyDescent="0.25"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94"/>
      <c r="S157" s="94"/>
    </row>
    <row r="158" spans="3:19" x14ac:dyDescent="0.25"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94"/>
      <c r="S158" s="94"/>
    </row>
    <row r="159" spans="3:19" x14ac:dyDescent="0.25"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94"/>
      <c r="S159" s="94"/>
    </row>
    <row r="160" spans="3:19" x14ac:dyDescent="0.25"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94"/>
      <c r="S160" s="94"/>
    </row>
    <row r="161" spans="5:19" x14ac:dyDescent="0.25"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94"/>
      <c r="S161" s="94"/>
    </row>
    <row r="162" spans="5:19" x14ac:dyDescent="0.25"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94"/>
      <c r="S162" s="94"/>
    </row>
    <row r="163" spans="5:19" x14ac:dyDescent="0.25"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94"/>
      <c r="S163" s="94"/>
    </row>
    <row r="164" spans="5:19" x14ac:dyDescent="0.25"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94"/>
      <c r="S164" s="94"/>
    </row>
    <row r="165" spans="5:19" x14ac:dyDescent="0.25"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94"/>
      <c r="S165" s="94"/>
    </row>
    <row r="166" spans="5:19" x14ac:dyDescent="0.25"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94"/>
      <c r="S166" s="94"/>
    </row>
    <row r="167" spans="5:19" x14ac:dyDescent="0.25"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94"/>
      <c r="S167" s="94"/>
    </row>
    <row r="168" spans="5:19" x14ac:dyDescent="0.25"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94"/>
      <c r="S168" s="94"/>
    </row>
    <row r="169" spans="5:19" x14ac:dyDescent="0.25"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94"/>
      <c r="S169" s="94"/>
    </row>
    <row r="170" spans="5:19" x14ac:dyDescent="0.25"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94"/>
      <c r="S170" s="94"/>
    </row>
    <row r="171" spans="5:19" x14ac:dyDescent="0.25"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94"/>
      <c r="S171" s="94"/>
    </row>
    <row r="172" spans="5:19" x14ac:dyDescent="0.25"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94"/>
      <c r="S172" s="94"/>
    </row>
    <row r="173" spans="5:19" x14ac:dyDescent="0.25"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94"/>
      <c r="S173" s="94"/>
    </row>
    <row r="174" spans="5:19" x14ac:dyDescent="0.25"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94"/>
      <c r="S174" s="94"/>
    </row>
    <row r="175" spans="5:19" x14ac:dyDescent="0.25"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94"/>
      <c r="S175" s="94"/>
    </row>
    <row r="176" spans="5:19" x14ac:dyDescent="0.25"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94"/>
      <c r="S176" s="94"/>
    </row>
    <row r="177" spans="5:19" x14ac:dyDescent="0.25"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94"/>
      <c r="S177" s="94"/>
    </row>
    <row r="178" spans="5:19" x14ac:dyDescent="0.25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94"/>
      <c r="S178" s="94"/>
    </row>
    <row r="179" spans="5:19" x14ac:dyDescent="0.25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94"/>
      <c r="S179" s="94"/>
    </row>
    <row r="180" spans="5:19" x14ac:dyDescent="0.25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94"/>
      <c r="S180" s="94"/>
    </row>
    <row r="181" spans="5:19" x14ac:dyDescent="0.25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94"/>
      <c r="S181" s="94"/>
    </row>
    <row r="182" spans="5:19" x14ac:dyDescent="0.25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</row>
    <row r="183" spans="5:19" x14ac:dyDescent="0.25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</row>
    <row r="184" spans="5:19" x14ac:dyDescent="0.25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</row>
    <row r="185" spans="5:19" x14ac:dyDescent="0.25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</row>
  </sheetData>
  <mergeCells count="18">
    <mergeCell ref="F152:G152"/>
    <mergeCell ref="I152:K152"/>
    <mergeCell ref="D8:E8"/>
    <mergeCell ref="D11:D12"/>
    <mergeCell ref="E11:E12"/>
    <mergeCell ref="F11:F12"/>
    <mergeCell ref="G11:G12"/>
    <mergeCell ref="H11:K11"/>
    <mergeCell ref="D14:K14"/>
    <mergeCell ref="D53:K53"/>
    <mergeCell ref="D92:K92"/>
    <mergeCell ref="D96:K96"/>
    <mergeCell ref="D129:K129"/>
    <mergeCell ref="F153:G153"/>
    <mergeCell ref="I153:K153"/>
    <mergeCell ref="M153:N153"/>
    <mergeCell ref="F155:H155"/>
    <mergeCell ref="F156:H156"/>
  </mergeCells>
  <dataValidations count="2">
    <dataValidation allowBlank="1" showInputMessage="1" promptTitle="Ввод" prompt="Для выбора организации необходимо два раза нажать левую клавишу мыши!" sqref="E26 E42 E65 E81 E19 E58"/>
    <dataValidation type="decimal" allowBlank="1" showErrorMessage="1" errorTitle="Ошибка" error="Допускается ввод только действительных чисел!" sqref="G24:K26 G93:K95 G67:K81 G15:K19 G83:K91 G97:K128 G63:K65 G44:K52 G28:K42 G130:K150 G60:K61 G21:K22 G54:K58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2021-01-27T07:03:35Z</dcterms:modified>
</cp:coreProperties>
</file>